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3.xml" ContentType="application/vnd.openxmlformats-officedocument.spreadsheetml.comments+xml"/>
  <Override PartName="/xl/threadedComments/threadedComment3.xml" ContentType="application/vnd.ms-excel.threadedcomments+xml"/>
  <Override PartName="/xl/drawings/drawing3.xml" ContentType="application/vnd.openxmlformats-officedocument.drawing+xml"/>
  <Override PartName="/xl/comments4.xml" ContentType="application/vnd.openxmlformats-officedocument.spreadsheetml.comments+xml"/>
  <Override PartName="/xl/threadedComments/threadedComment4.xml" ContentType="application/vnd.ms-excel.threadedcomment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comments5.xml" ContentType="application/vnd.openxmlformats-officedocument.spreadsheetml.comments+xml"/>
  <Override PartName="/xl/threadedComments/threadedComment5.xml" ContentType="application/vnd.ms-excel.threaded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5.xml" ContentType="application/vnd.openxmlformats-officedocument.drawing+xml"/>
  <Override PartName="/xl/comments6.xml" ContentType="application/vnd.openxmlformats-officedocument.spreadsheetml.comments+xml"/>
  <Override PartName="/xl/threadedComments/threadedComment6.xml" ContentType="application/vnd.ms-excel.threadedcomments+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6.xml" ContentType="application/vnd.openxmlformats-officedocument.drawing+xml"/>
  <Override PartName="/xl/comments7.xml" ContentType="application/vnd.openxmlformats-officedocument.spreadsheetml.comments+xml"/>
  <Override PartName="/xl/threadedComments/threadedComment7.xml" ContentType="application/vnd.ms-excel.threadedcomment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7.xml" ContentType="application/vnd.openxmlformats-officedocument.drawing+xml"/>
  <Override PartName="/xl/comments8.xml" ContentType="application/vnd.openxmlformats-officedocument.spreadsheetml.comments+xml"/>
  <Override PartName="/xl/threadedComments/threadedComment8.xml" ContentType="application/vnd.ms-excel.threadedcomments+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8.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9.xml" ContentType="application/vnd.openxmlformats-officedocument.drawing+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Utente\Desktop\Tesi modifica auto\"/>
    </mc:Choice>
  </mc:AlternateContent>
  <xr:revisionPtr revIDLastSave="0" documentId="13_ncr:1_{17CBD22A-ECB9-4E38-B12A-3BE951B0525B}" xr6:coauthVersionLast="47" xr6:coauthVersionMax="47" xr10:uidLastSave="{00000000-0000-0000-0000-000000000000}"/>
  <bookViews>
    <workbookView xWindow="-96" yWindow="-96" windowWidth="23232" windowHeight="12552" tabRatio="1000" firstSheet="4" activeTab="9" xr2:uid="{D93B7878-BA84-4CBF-9157-13D8BF567B29}"/>
  </bookViews>
  <sheets>
    <sheet name="output H2" sheetId="1" state="hidden" r:id="rId1"/>
    <sheet name="caratteristiche cella " sheetId="2" state="hidden" r:id="rId2"/>
    <sheet name="costo idrogeno in 30 anni" sheetId="5" state="hidden" r:id="rId3"/>
    <sheet name="produzione di energia" sheetId="3" state="hidden" r:id="rId4"/>
    <sheet name="output H2 PROVA" sheetId="8" r:id="rId5"/>
    <sheet name="polarization curve" sheetId="10" r:id="rId6"/>
    <sheet name="costo electrolyser" sheetId="4" r:id="rId7"/>
    <sheet name="costo idrogeno in 20y" sheetId="14" r:id="rId8"/>
    <sheet name="contributi LCOH 0,08 " sheetId="18" r:id="rId9"/>
    <sheet name="contributi LCOH 0,12" sheetId="17" r:id="rId10"/>
    <sheet name="contributi LCOH 0,16" sheetId="19" r:id="rId11"/>
    <sheet name="contributi LCOH 0,24" sheetId="20" r:id="rId12"/>
    <sheet name="SENSITIVITY ANALYSIS" sheetId="16" r:id="rId13"/>
    <sheet name="LCOH" sheetId="15" r:id="rId14"/>
  </sheets>
  <calcPr calcId="191028" concurrentManualCount="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 i="17" l="1"/>
  <c r="O26" i="17"/>
  <c r="D52" i="14"/>
  <c r="X17" i="10"/>
  <c r="B2" i="14"/>
  <c r="B55" i="17"/>
  <c r="B54" i="17"/>
  <c r="B53" i="17"/>
  <c r="B52" i="17"/>
  <c r="B51" i="17"/>
  <c r="B50" i="17"/>
  <c r="B79" i="17"/>
  <c r="B78" i="17"/>
  <c r="B77" i="17"/>
  <c r="B76" i="17"/>
  <c r="B75" i="17"/>
  <c r="L61" i="17"/>
  <c r="M61" i="17"/>
  <c r="N61" i="17"/>
  <c r="O61" i="17"/>
  <c r="P61" i="17"/>
  <c r="K61" i="17"/>
  <c r="C13" i="16"/>
  <c r="D13" i="16"/>
  <c r="E13" i="16"/>
  <c r="F13" i="16"/>
  <c r="G13" i="16"/>
  <c r="H13" i="16"/>
  <c r="C14" i="16"/>
  <c r="D14" i="16"/>
  <c r="E14" i="16"/>
  <c r="F14" i="16"/>
  <c r="G14" i="16"/>
  <c r="H14" i="16"/>
  <c r="C15" i="16"/>
  <c r="D15" i="16"/>
  <c r="E15" i="16"/>
  <c r="F15" i="16"/>
  <c r="G15" i="16"/>
  <c r="H15" i="16"/>
  <c r="B14" i="16"/>
  <c r="B15" i="16"/>
  <c r="B13" i="16"/>
  <c r="B11" i="16"/>
  <c r="C11" i="16"/>
  <c r="D11" i="16"/>
  <c r="E11" i="16"/>
  <c r="F11" i="16"/>
  <c r="G11" i="16"/>
  <c r="H11" i="16"/>
  <c r="B12" i="16"/>
  <c r="C12" i="16"/>
  <c r="D12" i="16"/>
  <c r="E12" i="16"/>
  <c r="F12" i="16"/>
  <c r="G12" i="16"/>
  <c r="H12" i="16"/>
  <c r="C10" i="16"/>
  <c r="D10" i="16"/>
  <c r="E10" i="16"/>
  <c r="F10" i="16"/>
  <c r="G10" i="16"/>
  <c r="H10" i="16"/>
  <c r="B10" i="16"/>
  <c r="B8" i="16"/>
  <c r="C8" i="16"/>
  <c r="D8" i="16"/>
  <c r="E8" i="16"/>
  <c r="F8" i="16"/>
  <c r="G8" i="16"/>
  <c r="H8" i="16"/>
  <c r="B9" i="16"/>
  <c r="C9" i="16"/>
  <c r="D9" i="16"/>
  <c r="E9" i="16"/>
  <c r="F9" i="16"/>
  <c r="G9" i="16"/>
  <c r="H9" i="16"/>
  <c r="C7" i="16"/>
  <c r="D7" i="16"/>
  <c r="E7" i="16"/>
  <c r="F7" i="16"/>
  <c r="G7" i="16"/>
  <c r="H7" i="16"/>
  <c r="B7" i="16"/>
  <c r="B5" i="16"/>
  <c r="C5" i="16"/>
  <c r="D5" i="16"/>
  <c r="E5" i="16"/>
  <c r="F5" i="16"/>
  <c r="G5" i="16"/>
  <c r="H5" i="16"/>
  <c r="B6" i="16"/>
  <c r="C6" i="16"/>
  <c r="D6" i="16"/>
  <c r="E6" i="16"/>
  <c r="F6" i="16"/>
  <c r="G6" i="16"/>
  <c r="H6" i="16"/>
  <c r="C4" i="16"/>
  <c r="D4" i="16"/>
  <c r="E4" i="16"/>
  <c r="F4" i="16"/>
  <c r="G4" i="16"/>
  <c r="H4" i="16"/>
  <c r="B4" i="16"/>
  <c r="B40" i="20"/>
  <c r="B39" i="20"/>
  <c r="V37" i="20"/>
  <c r="AH37" i="20" s="1"/>
  <c r="B32" i="20"/>
  <c r="B31" i="20"/>
  <c r="B46" i="20" s="1"/>
  <c r="B30" i="20"/>
  <c r="B29" i="20"/>
  <c r="B44" i="20" s="1"/>
  <c r="B28" i="20"/>
  <c r="B43" i="20" s="1"/>
  <c r="M26" i="20"/>
  <c r="B25" i="20"/>
  <c r="B42" i="20" s="1"/>
  <c r="B23" i="20"/>
  <c r="O22" i="20"/>
  <c r="M22" i="20"/>
  <c r="L22" i="20"/>
  <c r="J22" i="20"/>
  <c r="O21" i="20"/>
  <c r="J21" i="20"/>
  <c r="O20" i="20"/>
  <c r="L20" i="20"/>
  <c r="K20" i="20"/>
  <c r="S20" i="20" s="1"/>
  <c r="B20" i="20"/>
  <c r="O19" i="20"/>
  <c r="L19" i="20"/>
  <c r="K19" i="20"/>
  <c r="S19" i="20" s="1"/>
  <c r="B19" i="20"/>
  <c r="X37" i="20" s="1"/>
  <c r="O18" i="20"/>
  <c r="K18" i="20"/>
  <c r="J18" i="20"/>
  <c r="O17" i="20"/>
  <c r="L17" i="20"/>
  <c r="K17" i="20"/>
  <c r="J17" i="20"/>
  <c r="O16" i="20"/>
  <c r="L16" i="20"/>
  <c r="K16" i="20"/>
  <c r="S16" i="20" s="1"/>
  <c r="O15" i="20"/>
  <c r="L15" i="20"/>
  <c r="J15" i="20"/>
  <c r="B15" i="20"/>
  <c r="G2" i="20" s="1"/>
  <c r="O14" i="20"/>
  <c r="L14" i="20"/>
  <c r="K14" i="20"/>
  <c r="J14" i="20"/>
  <c r="O13" i="20"/>
  <c r="L13" i="20"/>
  <c r="K13" i="20"/>
  <c r="S13" i="20" s="1"/>
  <c r="J13" i="20"/>
  <c r="O12" i="20"/>
  <c r="N12" i="20"/>
  <c r="N26" i="20" s="1"/>
  <c r="K12" i="20"/>
  <c r="J12" i="20"/>
  <c r="B12" i="20"/>
  <c r="O11" i="20"/>
  <c r="L11" i="20"/>
  <c r="K11" i="20"/>
  <c r="S11" i="20" s="1"/>
  <c r="J11" i="20"/>
  <c r="O10" i="20"/>
  <c r="L10" i="20"/>
  <c r="K10" i="20"/>
  <c r="J10" i="20"/>
  <c r="O9" i="20"/>
  <c r="L9" i="20"/>
  <c r="K9" i="20"/>
  <c r="J9" i="20"/>
  <c r="O8" i="20"/>
  <c r="L8" i="20"/>
  <c r="K8" i="20"/>
  <c r="J8" i="20"/>
  <c r="O7" i="20"/>
  <c r="L7" i="20"/>
  <c r="K7" i="20"/>
  <c r="S7" i="20" s="1"/>
  <c r="J7" i="20"/>
  <c r="O6" i="20"/>
  <c r="L6" i="20"/>
  <c r="K6" i="20"/>
  <c r="J6" i="20"/>
  <c r="O5" i="20"/>
  <c r="L5" i="20"/>
  <c r="K5" i="20"/>
  <c r="J5" i="20"/>
  <c r="B5" i="20"/>
  <c r="C5" i="20" s="1"/>
  <c r="O4" i="20"/>
  <c r="L4" i="20"/>
  <c r="K4" i="20"/>
  <c r="J4" i="20"/>
  <c r="O3" i="20"/>
  <c r="Q3" i="20" s="1"/>
  <c r="L3" i="20"/>
  <c r="K3" i="20"/>
  <c r="J3" i="20"/>
  <c r="O2" i="20"/>
  <c r="Q2" i="20" s="1"/>
  <c r="L2" i="20"/>
  <c r="K2" i="20"/>
  <c r="J2" i="20"/>
  <c r="B2" i="20"/>
  <c r="I21" i="20" s="1"/>
  <c r="B43" i="19"/>
  <c r="B40" i="19"/>
  <c r="B39" i="19"/>
  <c r="V37" i="19"/>
  <c r="B32" i="19"/>
  <c r="B31" i="19"/>
  <c r="B46" i="19" s="1"/>
  <c r="B30" i="19"/>
  <c r="B45" i="19" s="1"/>
  <c r="B29" i="19"/>
  <c r="B44" i="19" s="1"/>
  <c r="B28" i="19"/>
  <c r="B33" i="19" s="1"/>
  <c r="B25" i="19"/>
  <c r="B42" i="19" s="1"/>
  <c r="B23" i="19"/>
  <c r="O22" i="19"/>
  <c r="M22" i="19"/>
  <c r="J22" i="19"/>
  <c r="O21" i="19"/>
  <c r="J21" i="19"/>
  <c r="O20" i="19"/>
  <c r="B20" i="19"/>
  <c r="K22" i="19" s="1"/>
  <c r="O19" i="19"/>
  <c r="K19" i="19"/>
  <c r="AO54" i="19" s="1"/>
  <c r="BC54" i="19" s="1"/>
  <c r="B19" i="19"/>
  <c r="X37" i="19" s="1"/>
  <c r="AJ37" i="19" s="1"/>
  <c r="O18" i="19"/>
  <c r="K18" i="19"/>
  <c r="O17" i="19"/>
  <c r="L17" i="19"/>
  <c r="AM52" i="19" s="1"/>
  <c r="BA52" i="19" s="1"/>
  <c r="J17" i="19"/>
  <c r="O16" i="19"/>
  <c r="K16" i="19"/>
  <c r="AC51" i="19" s="1"/>
  <c r="O15" i="19"/>
  <c r="L15" i="19"/>
  <c r="J15" i="19"/>
  <c r="B15" i="19"/>
  <c r="B37" i="19" s="1"/>
  <c r="O14" i="19"/>
  <c r="L14" i="19"/>
  <c r="AA49" i="19" s="1"/>
  <c r="J14" i="19"/>
  <c r="O13" i="19"/>
  <c r="K13" i="19"/>
  <c r="J13" i="19"/>
  <c r="O12" i="19"/>
  <c r="N12" i="19"/>
  <c r="K12" i="19"/>
  <c r="J12" i="19"/>
  <c r="B12" i="19"/>
  <c r="L21" i="19" s="1"/>
  <c r="AM56" i="19" s="1"/>
  <c r="BA56" i="19" s="1"/>
  <c r="O11" i="19"/>
  <c r="L11" i="19"/>
  <c r="K11" i="19"/>
  <c r="J11" i="19"/>
  <c r="S10" i="19"/>
  <c r="O10" i="19"/>
  <c r="L10" i="19"/>
  <c r="K10" i="19"/>
  <c r="J10" i="19"/>
  <c r="O9" i="19"/>
  <c r="L9" i="19"/>
  <c r="K9" i="19"/>
  <c r="J9" i="19"/>
  <c r="O8" i="19"/>
  <c r="L8" i="19"/>
  <c r="S8" i="19" s="1"/>
  <c r="K8" i="19"/>
  <c r="J8" i="19"/>
  <c r="O7" i="19"/>
  <c r="L7" i="19"/>
  <c r="K7" i="19"/>
  <c r="J7" i="19"/>
  <c r="S6" i="19"/>
  <c r="O6" i="19"/>
  <c r="L6" i="19"/>
  <c r="K6" i="19"/>
  <c r="J6" i="19"/>
  <c r="O5" i="19"/>
  <c r="L5" i="19"/>
  <c r="AA40" i="19" s="1"/>
  <c r="K5" i="19"/>
  <c r="J5" i="19"/>
  <c r="B5" i="19"/>
  <c r="S4" i="19"/>
  <c r="O4" i="19"/>
  <c r="L4" i="19"/>
  <c r="K4" i="19"/>
  <c r="AC39" i="19" s="1"/>
  <c r="J4" i="19"/>
  <c r="S3" i="19"/>
  <c r="O3" i="19"/>
  <c r="L3" i="19"/>
  <c r="K3" i="19"/>
  <c r="J3" i="19"/>
  <c r="AA2" i="19"/>
  <c r="O2" i="19"/>
  <c r="Q2" i="19" s="1"/>
  <c r="L2" i="19"/>
  <c r="K2" i="19"/>
  <c r="J2" i="19"/>
  <c r="G2" i="19"/>
  <c r="O26" i="19" s="1"/>
  <c r="B2" i="19"/>
  <c r="I5" i="19" s="1"/>
  <c r="W5" i="19" s="1"/>
  <c r="B43" i="18"/>
  <c r="B41" i="18"/>
  <c r="B40" i="18"/>
  <c r="B39" i="18"/>
  <c r="V37" i="18"/>
  <c r="B37" i="18"/>
  <c r="B32" i="18"/>
  <c r="B31" i="18"/>
  <c r="B46" i="18" s="1"/>
  <c r="B29" i="18"/>
  <c r="B44" i="18" s="1"/>
  <c r="B28" i="18"/>
  <c r="B33" i="18" s="1"/>
  <c r="B23" i="18"/>
  <c r="B25" i="18" s="1"/>
  <c r="O22" i="18"/>
  <c r="O21" i="18"/>
  <c r="O20" i="18"/>
  <c r="J20" i="18"/>
  <c r="B20" i="18"/>
  <c r="O19" i="18"/>
  <c r="J19" i="18"/>
  <c r="B19" i="18"/>
  <c r="X37" i="18" s="1"/>
  <c r="AJ37" i="18" s="1"/>
  <c r="AX37" i="18" s="1"/>
  <c r="O18" i="18"/>
  <c r="O17" i="18"/>
  <c r="AD16" i="18"/>
  <c r="O16" i="18"/>
  <c r="J16" i="18"/>
  <c r="O15" i="18"/>
  <c r="K15" i="18"/>
  <c r="J15" i="18"/>
  <c r="B15" i="18"/>
  <c r="W37" i="18" s="1"/>
  <c r="O14" i="18"/>
  <c r="O13" i="18"/>
  <c r="J13" i="18"/>
  <c r="O12" i="18"/>
  <c r="K12" i="18"/>
  <c r="B12" i="18"/>
  <c r="L18" i="18" s="1"/>
  <c r="O11" i="18"/>
  <c r="J11" i="18"/>
  <c r="O10" i="18"/>
  <c r="K10" i="18"/>
  <c r="J10" i="18"/>
  <c r="O9" i="18"/>
  <c r="K9" i="18"/>
  <c r="O8" i="18"/>
  <c r="O7" i="18"/>
  <c r="J7" i="18"/>
  <c r="O6" i="18"/>
  <c r="K6" i="18"/>
  <c r="J6" i="18"/>
  <c r="O5" i="18"/>
  <c r="K5" i="18"/>
  <c r="J5" i="18"/>
  <c r="B5" i="18"/>
  <c r="C5" i="18" s="1"/>
  <c r="O4" i="18"/>
  <c r="K4" i="18"/>
  <c r="J4" i="18"/>
  <c r="O3" i="18"/>
  <c r="K3" i="18"/>
  <c r="J3" i="18"/>
  <c r="Q2" i="18"/>
  <c r="AD17" i="18" s="1"/>
  <c r="O2" i="18"/>
  <c r="K2" i="18"/>
  <c r="J2" i="18"/>
  <c r="G2" i="18"/>
  <c r="B2" i="18"/>
  <c r="I16" i="18" s="1"/>
  <c r="B40" i="17"/>
  <c r="B39" i="17"/>
  <c r="B32" i="17"/>
  <c r="B29" i="17"/>
  <c r="B44" i="17" s="1"/>
  <c r="B28" i="17"/>
  <c r="B43" i="17" s="1"/>
  <c r="B23" i="17"/>
  <c r="B25" i="17" s="1"/>
  <c r="J5" i="17" s="1"/>
  <c r="O22" i="17"/>
  <c r="O21" i="17"/>
  <c r="O20" i="17"/>
  <c r="B20" i="17"/>
  <c r="K2" i="17" s="1"/>
  <c r="O19" i="17"/>
  <c r="B19" i="17"/>
  <c r="X37" i="17" s="1"/>
  <c r="O18" i="17"/>
  <c r="O17" i="17"/>
  <c r="O16" i="17"/>
  <c r="O15" i="17"/>
  <c r="B15" i="17"/>
  <c r="B37" i="17" s="1"/>
  <c r="O14" i="17"/>
  <c r="O13" i="17"/>
  <c r="O12" i="17"/>
  <c r="B12" i="17"/>
  <c r="L21" i="17" s="1"/>
  <c r="AM56" i="17" s="1"/>
  <c r="BA56" i="17" s="1"/>
  <c r="O11" i="17"/>
  <c r="O10" i="17"/>
  <c r="O9" i="17"/>
  <c r="O8" i="17"/>
  <c r="O7" i="17"/>
  <c r="O6" i="17"/>
  <c r="O5" i="17"/>
  <c r="B5" i="17"/>
  <c r="O4" i="17"/>
  <c r="O3" i="17"/>
  <c r="O2" i="17"/>
  <c r="Q2" i="17" s="1"/>
  <c r="B2" i="17"/>
  <c r="B47" i="17" s="1"/>
  <c r="F3" i="10"/>
  <c r="U2" i="8"/>
  <c r="R6" i="8"/>
  <c r="R5" i="8"/>
  <c r="R4" i="8"/>
  <c r="R3" i="8"/>
  <c r="D3" i="10"/>
  <c r="E3" i="10"/>
  <c r="K18" i="8"/>
  <c r="B40" i="14"/>
  <c r="V43" i="8"/>
  <c r="V44" i="8"/>
  <c r="V45" i="8"/>
  <c r="V41" i="8"/>
  <c r="V39" i="8"/>
  <c r="I2" i="20" l="1"/>
  <c r="AN37" i="20" s="1"/>
  <c r="I5" i="20"/>
  <c r="AB5" i="20" s="1"/>
  <c r="I3" i="20"/>
  <c r="I6" i="20"/>
  <c r="AB6" i="20" s="1"/>
  <c r="I4" i="20"/>
  <c r="T4" i="20" s="1"/>
  <c r="I9" i="20"/>
  <c r="AB9" i="20" s="1"/>
  <c r="I2" i="19"/>
  <c r="AB37" i="19" s="1"/>
  <c r="Q4" i="20"/>
  <c r="AB56" i="20"/>
  <c r="AN56" i="20"/>
  <c r="BB56" i="20" s="1"/>
  <c r="T21" i="20"/>
  <c r="AD20" i="20"/>
  <c r="AD18" i="20"/>
  <c r="AD9" i="20"/>
  <c r="AD5" i="20"/>
  <c r="AD17" i="20"/>
  <c r="AD14" i="20"/>
  <c r="AD8" i="20"/>
  <c r="AD21" i="20"/>
  <c r="AD16" i="20"/>
  <c r="AD13" i="20"/>
  <c r="AD11" i="20"/>
  <c r="AD7" i="20"/>
  <c r="AD22" i="20"/>
  <c r="AD19" i="20"/>
  <c r="AD15" i="20"/>
  <c r="AD12" i="20"/>
  <c r="AD10" i="20"/>
  <c r="AD6" i="20"/>
  <c r="AD4" i="20"/>
  <c r="AD3" i="20"/>
  <c r="AD2" i="20"/>
  <c r="AE2" i="20" s="1"/>
  <c r="AL59" i="20" s="1"/>
  <c r="Q5" i="20"/>
  <c r="Q6" i="20" s="1"/>
  <c r="Q7" i="20" s="1"/>
  <c r="Q8" i="20" s="1"/>
  <c r="Q9" i="20" s="1"/>
  <c r="Q10" i="20" s="1"/>
  <c r="Q11" i="20" s="1"/>
  <c r="Q12" i="20" s="1"/>
  <c r="Q13" i="20" s="1"/>
  <c r="Q14" i="20" s="1"/>
  <c r="Q15" i="20" s="1"/>
  <c r="Q16" i="20" s="1"/>
  <c r="Q17" i="20" s="1"/>
  <c r="Q18" i="20" s="1"/>
  <c r="Q19" i="20" s="1"/>
  <c r="Q20" i="20" s="1"/>
  <c r="Q21" i="20" s="1"/>
  <c r="Q22" i="20" s="1"/>
  <c r="Z59" i="20" s="1"/>
  <c r="Y2" i="20"/>
  <c r="O26" i="20"/>
  <c r="AA2" i="20"/>
  <c r="P2" i="20"/>
  <c r="P3" i="20" s="1"/>
  <c r="P4" i="20" s="1"/>
  <c r="P5" i="20" s="1"/>
  <c r="P6" i="20" s="1"/>
  <c r="AB38" i="20"/>
  <c r="AN38" i="20"/>
  <c r="BB38" i="20" s="1"/>
  <c r="T3" i="20"/>
  <c r="AN39" i="20"/>
  <c r="BB39" i="20" s="1"/>
  <c r="AB39" i="20"/>
  <c r="AN41" i="20"/>
  <c r="BB41" i="20" s="1"/>
  <c r="AB41" i="20"/>
  <c r="T6" i="20"/>
  <c r="AA42" i="20"/>
  <c r="AM42" i="20"/>
  <c r="BA42" i="20" s="1"/>
  <c r="AC43" i="20"/>
  <c r="AO43" i="20"/>
  <c r="BC43" i="20" s="1"/>
  <c r="I10" i="20"/>
  <c r="AA46" i="20"/>
  <c r="AM46" i="20"/>
  <c r="BA46" i="20" s="1"/>
  <c r="AA48" i="20"/>
  <c r="AM48" i="20"/>
  <c r="BA48" i="20" s="1"/>
  <c r="AC49" i="20"/>
  <c r="AO49" i="20"/>
  <c r="BC49" i="20" s="1"/>
  <c r="I15" i="20"/>
  <c r="AA51" i="20"/>
  <c r="AM51" i="20"/>
  <c r="BA51" i="20" s="1"/>
  <c r="AO52" i="20"/>
  <c r="BC52" i="20" s="1"/>
  <c r="AC52" i="20"/>
  <c r="AJ37" i="20"/>
  <c r="AM54" i="20"/>
  <c r="BA54" i="20" s="1"/>
  <c r="AA54" i="20"/>
  <c r="AA55" i="20"/>
  <c r="AM55" i="20"/>
  <c r="BA55" i="20" s="1"/>
  <c r="AA57" i="20"/>
  <c r="AM57" i="20"/>
  <c r="BA57" i="20" s="1"/>
  <c r="B47" i="20"/>
  <c r="I20" i="20"/>
  <c r="AC37" i="20"/>
  <c r="AO37" i="20"/>
  <c r="W2" i="20"/>
  <c r="AC40" i="20"/>
  <c r="AO40" i="20"/>
  <c r="BC40" i="20" s="1"/>
  <c r="W5" i="20"/>
  <c r="I7" i="20"/>
  <c r="AA43" i="20"/>
  <c r="AM43" i="20"/>
  <c r="BA43" i="20" s="1"/>
  <c r="S8" i="20"/>
  <c r="AC44" i="20"/>
  <c r="AO44" i="20"/>
  <c r="BC44" i="20" s="1"/>
  <c r="W9" i="20"/>
  <c r="I11" i="20"/>
  <c r="AC47" i="20"/>
  <c r="AO47" i="20"/>
  <c r="BC47" i="20" s="1"/>
  <c r="I13" i="20"/>
  <c r="AA49" i="20"/>
  <c r="AM49" i="20"/>
  <c r="BA49" i="20" s="1"/>
  <c r="S14" i="20"/>
  <c r="I16" i="20"/>
  <c r="AA52" i="20"/>
  <c r="AM52" i="20"/>
  <c r="BA52" i="20" s="1"/>
  <c r="S17" i="20"/>
  <c r="AC53" i="20"/>
  <c r="AO53" i="20"/>
  <c r="BC53" i="20" s="1"/>
  <c r="I19" i="20"/>
  <c r="B41" i="20"/>
  <c r="K22" i="20"/>
  <c r="BD57" i="20"/>
  <c r="AP57" i="20"/>
  <c r="B45" i="20"/>
  <c r="Y37" i="20"/>
  <c r="AV37" i="20"/>
  <c r="AI62" i="20"/>
  <c r="AM37" i="20"/>
  <c r="AA37" i="20"/>
  <c r="S2" i="20"/>
  <c r="AB2" i="20"/>
  <c r="AC38" i="20"/>
  <c r="AO38" i="20"/>
  <c r="BC38" i="20" s="1"/>
  <c r="W3" i="20"/>
  <c r="AC39" i="20"/>
  <c r="AO39" i="20"/>
  <c r="BC39" i="20" s="1"/>
  <c r="W4" i="20"/>
  <c r="AA40" i="20"/>
  <c r="AM40" i="20"/>
  <c r="BA40" i="20" s="1"/>
  <c r="S5" i="20"/>
  <c r="AC41" i="20"/>
  <c r="AO41" i="20"/>
  <c r="BC41" i="20" s="1"/>
  <c r="W6" i="20"/>
  <c r="I8" i="20"/>
  <c r="AA44" i="20"/>
  <c r="AM44" i="20"/>
  <c r="BA44" i="20" s="1"/>
  <c r="S9" i="20"/>
  <c r="V9" i="20" s="1"/>
  <c r="AC45" i="20"/>
  <c r="AO45" i="20"/>
  <c r="BC45" i="20" s="1"/>
  <c r="L21" i="20"/>
  <c r="B38" i="20"/>
  <c r="L12" i="20"/>
  <c r="I14" i="20"/>
  <c r="K15" i="20"/>
  <c r="K26" i="20" s="1"/>
  <c r="K23" i="20" s="1"/>
  <c r="J16" i="20"/>
  <c r="I17" i="20"/>
  <c r="L18" i="20"/>
  <c r="S18" i="20"/>
  <c r="J19" i="20"/>
  <c r="J20" i="20"/>
  <c r="K21" i="20"/>
  <c r="W21" i="20" s="1"/>
  <c r="I22" i="20"/>
  <c r="AB37" i="20"/>
  <c r="T2" i="20"/>
  <c r="AA38" i="20"/>
  <c r="AM38" i="20"/>
  <c r="BA38" i="20" s="1"/>
  <c r="S3" i="20"/>
  <c r="AB3" i="20"/>
  <c r="AA39" i="20"/>
  <c r="AM39" i="20"/>
  <c r="BA39" i="20" s="1"/>
  <c r="S4" i="20"/>
  <c r="AB4" i="20"/>
  <c r="AB40" i="20"/>
  <c r="AN40" i="20"/>
  <c r="BB40" i="20" s="1"/>
  <c r="AA41" i="20"/>
  <c r="AM41" i="20"/>
  <c r="BA41" i="20" s="1"/>
  <c r="S6" i="20"/>
  <c r="V6" i="20" s="1"/>
  <c r="AC42" i="20"/>
  <c r="AO42" i="20"/>
  <c r="BC42" i="20" s="1"/>
  <c r="AB44" i="20"/>
  <c r="T9" i="20"/>
  <c r="AA45" i="20"/>
  <c r="AM45" i="20"/>
  <c r="BA45" i="20" s="1"/>
  <c r="S10" i="20"/>
  <c r="AC46" i="20"/>
  <c r="AO46" i="20"/>
  <c r="BC46" i="20" s="1"/>
  <c r="I12" i="20"/>
  <c r="BD47" i="20"/>
  <c r="AP47" i="20"/>
  <c r="AP58" i="20" s="1"/>
  <c r="AO48" i="20"/>
  <c r="BC48" i="20" s="1"/>
  <c r="AC48" i="20"/>
  <c r="B37" i="20"/>
  <c r="W37" i="20"/>
  <c r="AM50" i="20"/>
  <c r="BA50" i="20" s="1"/>
  <c r="AA50" i="20"/>
  <c r="AC51" i="20"/>
  <c r="AO51" i="20"/>
  <c r="BC51" i="20" s="1"/>
  <c r="I18" i="20"/>
  <c r="AC54" i="20"/>
  <c r="AO54" i="20"/>
  <c r="BC54" i="20" s="1"/>
  <c r="AC55" i="20"/>
  <c r="AO55" i="20"/>
  <c r="BC55" i="20" s="1"/>
  <c r="B33" i="20"/>
  <c r="Z37" i="20"/>
  <c r="AD20" i="19"/>
  <c r="AD22" i="19"/>
  <c r="AD19" i="19"/>
  <c r="AD15" i="19"/>
  <c r="AD12" i="19"/>
  <c r="AD10" i="19"/>
  <c r="AD6" i="19"/>
  <c r="AD4" i="19"/>
  <c r="AD3" i="19"/>
  <c r="AD2" i="19"/>
  <c r="AD18" i="19"/>
  <c r="AD17" i="19"/>
  <c r="AD14" i="19"/>
  <c r="AD8" i="19"/>
  <c r="AD21" i="19"/>
  <c r="AD16" i="19"/>
  <c r="AD13" i="19"/>
  <c r="AD7" i="19"/>
  <c r="AD11" i="19"/>
  <c r="Q3" i="19"/>
  <c r="Q4" i="19" s="1"/>
  <c r="Q5" i="19" s="1"/>
  <c r="Q6" i="19" s="1"/>
  <c r="Q7" i="19" s="1"/>
  <c r="Q8" i="19" s="1"/>
  <c r="Q9" i="19" s="1"/>
  <c r="Q10" i="19" s="1"/>
  <c r="Q11" i="19" s="1"/>
  <c r="Q12" i="19" s="1"/>
  <c r="Q13" i="19" s="1"/>
  <c r="Q14" i="19" s="1"/>
  <c r="Q15" i="19" s="1"/>
  <c r="Q16" i="19" s="1"/>
  <c r="Q17" i="19" s="1"/>
  <c r="Q18" i="19" s="1"/>
  <c r="Q19" i="19" s="1"/>
  <c r="Q20" i="19" s="1"/>
  <c r="Q21" i="19" s="1"/>
  <c r="Q22" i="19" s="1"/>
  <c r="Z59" i="19" s="1"/>
  <c r="AD5" i="19"/>
  <c r="AD9" i="19"/>
  <c r="I20" i="19"/>
  <c r="I21" i="19"/>
  <c r="I15" i="19"/>
  <c r="I10" i="19"/>
  <c r="I6" i="19"/>
  <c r="I4" i="19"/>
  <c r="I3" i="19"/>
  <c r="B47" i="19"/>
  <c r="I18" i="19"/>
  <c r="I22" i="19"/>
  <c r="I17" i="19"/>
  <c r="I14" i="19"/>
  <c r="I8" i="19"/>
  <c r="I19" i="19"/>
  <c r="I16" i="19"/>
  <c r="AO37" i="19"/>
  <c r="AC37" i="19"/>
  <c r="AO40" i="19"/>
  <c r="BC40" i="19" s="1"/>
  <c r="AC40" i="19"/>
  <c r="S5" i="19"/>
  <c r="T5" i="19"/>
  <c r="I9" i="19"/>
  <c r="I13" i="19"/>
  <c r="AN37" i="19"/>
  <c r="AM37" i="19"/>
  <c r="AA37" i="19"/>
  <c r="S2" i="19"/>
  <c r="Y2" i="19"/>
  <c r="AC38" i="19"/>
  <c r="AO38" i="19"/>
  <c r="BC38" i="19" s="1"/>
  <c r="C5" i="19"/>
  <c r="AA41" i="19"/>
  <c r="AM41" i="19"/>
  <c r="BA41" i="19" s="1"/>
  <c r="S7" i="19"/>
  <c r="AO42" i="19"/>
  <c r="BC42" i="19" s="1"/>
  <c r="AC42" i="19"/>
  <c r="I11" i="19"/>
  <c r="AC47" i="19"/>
  <c r="AO47" i="19"/>
  <c r="BC47" i="19" s="1"/>
  <c r="AN40" i="19"/>
  <c r="BB40" i="19" s="1"/>
  <c r="AB5" i="19"/>
  <c r="AB40" i="19"/>
  <c r="AC44" i="19"/>
  <c r="S9" i="19"/>
  <c r="AO44" i="19"/>
  <c r="BC44" i="19" s="1"/>
  <c r="BD47" i="19"/>
  <c r="AP47" i="19"/>
  <c r="AP58" i="19" s="1"/>
  <c r="N26" i="19"/>
  <c r="T2" i="19"/>
  <c r="AA38" i="19"/>
  <c r="AM38" i="19"/>
  <c r="BA38" i="19" s="1"/>
  <c r="AM43" i="19"/>
  <c r="BA43" i="19" s="1"/>
  <c r="AA43" i="19"/>
  <c r="AO48" i="19"/>
  <c r="BC48" i="19" s="1"/>
  <c r="AC48" i="19"/>
  <c r="P2" i="19"/>
  <c r="P3" i="19" s="1"/>
  <c r="P4" i="19" s="1"/>
  <c r="P5" i="19" s="1"/>
  <c r="P6" i="19" s="1"/>
  <c r="P7" i="19" s="1"/>
  <c r="P8" i="19" s="1"/>
  <c r="P9" i="19" s="1"/>
  <c r="P10" i="19" s="1"/>
  <c r="P11" i="19" s="1"/>
  <c r="W2" i="19"/>
  <c r="AB2" i="19"/>
  <c r="AM39" i="19"/>
  <c r="BA39" i="19" s="1"/>
  <c r="AA39" i="19"/>
  <c r="I7" i="19"/>
  <c r="AA45" i="19"/>
  <c r="AM45" i="19"/>
  <c r="BA45" i="19" s="1"/>
  <c r="AC46" i="19"/>
  <c r="S11" i="19"/>
  <c r="AO46" i="19"/>
  <c r="BC46" i="19" s="1"/>
  <c r="I12" i="19"/>
  <c r="AC53" i="19"/>
  <c r="AO53" i="19"/>
  <c r="BC53" i="19" s="1"/>
  <c r="AC57" i="19"/>
  <c r="AO57" i="19"/>
  <c r="BC57" i="19" s="1"/>
  <c r="BD57" i="19"/>
  <c r="AP57" i="19"/>
  <c r="B38" i="19"/>
  <c r="AO39" i="19"/>
  <c r="BC39" i="19" s="1"/>
  <c r="AM49" i="19"/>
  <c r="BA49" i="19" s="1"/>
  <c r="AC41" i="19"/>
  <c r="AO41" i="19"/>
  <c r="BC41" i="19" s="1"/>
  <c r="AA44" i="19"/>
  <c r="AM44" i="19"/>
  <c r="BA44" i="19" s="1"/>
  <c r="AC45" i="19"/>
  <c r="AO45" i="19"/>
  <c r="BC45" i="19" s="1"/>
  <c r="L12" i="19"/>
  <c r="K15" i="19"/>
  <c r="J16" i="19"/>
  <c r="L18" i="19"/>
  <c r="J19" i="19"/>
  <c r="J20" i="19"/>
  <c r="K21" i="19"/>
  <c r="W37" i="19"/>
  <c r="AX37" i="19"/>
  <c r="AO51" i="19"/>
  <c r="BC51" i="19" s="1"/>
  <c r="AM50" i="19"/>
  <c r="BA50" i="19" s="1"/>
  <c r="AA50" i="19"/>
  <c r="K20" i="19"/>
  <c r="Y37" i="19"/>
  <c r="AH37" i="19"/>
  <c r="AM40" i="19"/>
  <c r="BA40" i="19" s="1"/>
  <c r="B41" i="19"/>
  <c r="AA52" i="19"/>
  <c r="AA42" i="19"/>
  <c r="AM42" i="19"/>
  <c r="BA42" i="19" s="1"/>
  <c r="AC43" i="19"/>
  <c r="AO43" i="19"/>
  <c r="BC43" i="19" s="1"/>
  <c r="AA46" i="19"/>
  <c r="AM46" i="19"/>
  <c r="BA46" i="19" s="1"/>
  <c r="L13" i="19"/>
  <c r="S13" i="19" s="1"/>
  <c r="K14" i="19"/>
  <c r="L16" i="19"/>
  <c r="K17" i="19"/>
  <c r="J18" i="19"/>
  <c r="L19" i="19"/>
  <c r="L20" i="19"/>
  <c r="L22" i="19"/>
  <c r="S22" i="19"/>
  <c r="M26" i="19"/>
  <c r="AC54" i="19"/>
  <c r="AA56" i="19"/>
  <c r="I3" i="18"/>
  <c r="T3" i="18" s="1"/>
  <c r="I4" i="18"/>
  <c r="T4" i="18" s="1"/>
  <c r="I11" i="18"/>
  <c r="I8" i="18"/>
  <c r="AB43" i="18" s="1"/>
  <c r="I17" i="18"/>
  <c r="T17" i="18" s="1"/>
  <c r="I7" i="18"/>
  <c r="I13" i="18"/>
  <c r="AM53" i="18"/>
  <c r="BA53" i="18" s="1"/>
  <c r="AA53" i="18"/>
  <c r="AN51" i="18"/>
  <c r="BB51" i="18" s="1"/>
  <c r="AB51" i="18"/>
  <c r="T16" i="18"/>
  <c r="AN43" i="18"/>
  <c r="BB43" i="18" s="1"/>
  <c r="L14" i="18"/>
  <c r="AO37" i="18"/>
  <c r="AC37" i="18"/>
  <c r="AD2" i="18"/>
  <c r="AC40" i="18"/>
  <c r="AO40" i="18"/>
  <c r="BC40" i="18" s="1"/>
  <c r="L8" i="18"/>
  <c r="AB8" i="18" s="1"/>
  <c r="AC47" i="18"/>
  <c r="AO47" i="18"/>
  <c r="BC47" i="18" s="1"/>
  <c r="S2" i="18"/>
  <c r="AO38" i="18"/>
  <c r="BC38" i="18" s="1"/>
  <c r="AC38" i="18"/>
  <c r="AC39" i="18"/>
  <c r="AO39" i="18"/>
  <c r="BC39" i="18" s="1"/>
  <c r="L5" i="18"/>
  <c r="S5" i="18"/>
  <c r="AD8" i="18"/>
  <c r="L12" i="18"/>
  <c r="AD13" i="18"/>
  <c r="L17" i="18"/>
  <c r="AN38" i="18"/>
  <c r="BB38" i="18" s="1"/>
  <c r="AB38" i="18"/>
  <c r="AB39" i="18"/>
  <c r="AN39" i="18"/>
  <c r="BB39" i="18" s="1"/>
  <c r="AB4" i="18"/>
  <c r="T8" i="18"/>
  <c r="AB48" i="18"/>
  <c r="AN48" i="18"/>
  <c r="BB48" i="18" s="1"/>
  <c r="AD22" i="18"/>
  <c r="AD21" i="18"/>
  <c r="AD15" i="18"/>
  <c r="AD12" i="18"/>
  <c r="AD10" i="18"/>
  <c r="AD6" i="18"/>
  <c r="AD19" i="18"/>
  <c r="AD18" i="18"/>
  <c r="AD9" i="18"/>
  <c r="AD5" i="18"/>
  <c r="Q3" i="18"/>
  <c r="Q4" i="18" s="1"/>
  <c r="Q5" i="18" s="1"/>
  <c r="Q6" i="18" s="1"/>
  <c r="Q7" i="18" s="1"/>
  <c r="Q8" i="18" s="1"/>
  <c r="Q9" i="18" s="1"/>
  <c r="Q10" i="18" s="1"/>
  <c r="Q11" i="18" s="1"/>
  <c r="Q12" i="18" s="1"/>
  <c r="Q13" i="18" s="1"/>
  <c r="Q14" i="18" s="1"/>
  <c r="Q15" i="18" s="1"/>
  <c r="Q16" i="18" s="1"/>
  <c r="Q17" i="18" s="1"/>
  <c r="Q18" i="18" s="1"/>
  <c r="Q19" i="18" s="1"/>
  <c r="Q20" i="18" s="1"/>
  <c r="Q21" i="18" s="1"/>
  <c r="Q22" i="18" s="1"/>
  <c r="Z59" i="18" s="1"/>
  <c r="AD3" i="18"/>
  <c r="AD4" i="18"/>
  <c r="AN42" i="18"/>
  <c r="BB42" i="18" s="1"/>
  <c r="AB42" i="18"/>
  <c r="T7" i="18"/>
  <c r="AN46" i="18"/>
  <c r="BB46" i="18" s="1"/>
  <c r="AB46" i="18"/>
  <c r="T11" i="18"/>
  <c r="AD14" i="18"/>
  <c r="AN52" i="18"/>
  <c r="BB52" i="18" s="1"/>
  <c r="AB52" i="18"/>
  <c r="W17" i="18"/>
  <c r="I22" i="18"/>
  <c r="I20" i="18"/>
  <c r="I19" i="18"/>
  <c r="I15" i="18"/>
  <c r="I10" i="18"/>
  <c r="I6" i="18"/>
  <c r="B47" i="18"/>
  <c r="I21" i="18"/>
  <c r="I18" i="18"/>
  <c r="I12" i="18"/>
  <c r="I9" i="18"/>
  <c r="I5" i="18"/>
  <c r="I2" i="18"/>
  <c r="L2" i="18"/>
  <c r="O26" i="18"/>
  <c r="AA2" i="18"/>
  <c r="AC41" i="18"/>
  <c r="AO41" i="18"/>
  <c r="BC41" i="18" s="1"/>
  <c r="S6" i="18"/>
  <c r="AD7" i="18"/>
  <c r="AC44" i="18"/>
  <c r="AO44" i="18"/>
  <c r="BC44" i="18" s="1"/>
  <c r="AC45" i="18"/>
  <c r="AO45" i="18"/>
  <c r="BC45" i="18" s="1"/>
  <c r="AD11" i="18"/>
  <c r="I14" i="18"/>
  <c r="B42" i="18"/>
  <c r="J22" i="18"/>
  <c r="K22" i="18"/>
  <c r="K18" i="18"/>
  <c r="J21" i="18"/>
  <c r="J18" i="18"/>
  <c r="J12" i="18"/>
  <c r="J9" i="18"/>
  <c r="K8" i="18"/>
  <c r="J17" i="18"/>
  <c r="J14" i="18"/>
  <c r="J8" i="18"/>
  <c r="B38" i="18"/>
  <c r="L20" i="18"/>
  <c r="L21" i="18"/>
  <c r="L19" i="18"/>
  <c r="L16" i="18"/>
  <c r="L13" i="18"/>
  <c r="AB13" i="18" s="1"/>
  <c r="L11" i="18"/>
  <c r="L7" i="18"/>
  <c r="L22" i="18"/>
  <c r="L15" i="18"/>
  <c r="L10" i="18"/>
  <c r="L6" i="18"/>
  <c r="L4" i="18"/>
  <c r="L3" i="18"/>
  <c r="W3" i="18" s="1"/>
  <c r="T13" i="18"/>
  <c r="AO50" i="18"/>
  <c r="BC50" i="18" s="1"/>
  <c r="AC50" i="18"/>
  <c r="S15" i="18"/>
  <c r="AD20" i="18"/>
  <c r="L9" i="18"/>
  <c r="K7" i="18"/>
  <c r="W7" i="18" s="1"/>
  <c r="K11" i="18"/>
  <c r="AB11" i="18" s="1"/>
  <c r="N12" i="18"/>
  <c r="K13" i="18"/>
  <c r="AI37" i="18"/>
  <c r="K16" i="18"/>
  <c r="AB16" i="18" s="1"/>
  <c r="K19" i="18"/>
  <c r="K20" i="18"/>
  <c r="AH37" i="18"/>
  <c r="K14" i="18"/>
  <c r="K17" i="18"/>
  <c r="AB17" i="18" s="1"/>
  <c r="K21" i="18"/>
  <c r="B30" i="18"/>
  <c r="V37" i="17"/>
  <c r="Y62" i="17"/>
  <c r="AJ73" i="17" s="1"/>
  <c r="AO37" i="17"/>
  <c r="AC37" i="17"/>
  <c r="J20" i="17"/>
  <c r="J4" i="17"/>
  <c r="AA56" i="17"/>
  <c r="J16" i="17"/>
  <c r="J12" i="17"/>
  <c r="J8" i="17"/>
  <c r="J2" i="17"/>
  <c r="J19" i="17"/>
  <c r="J15" i="17"/>
  <c r="J11" i="17"/>
  <c r="J7" i="17"/>
  <c r="J3" i="17"/>
  <c r="W37" i="17"/>
  <c r="AJ37" i="17"/>
  <c r="J22" i="17"/>
  <c r="J18" i="17"/>
  <c r="J14" i="17"/>
  <c r="J10" i="17"/>
  <c r="J6" i="17"/>
  <c r="J21" i="17"/>
  <c r="J17" i="17"/>
  <c r="J13" i="17"/>
  <c r="J9" i="17"/>
  <c r="AH37" i="17"/>
  <c r="L5" i="17"/>
  <c r="L3" i="17"/>
  <c r="L7" i="17"/>
  <c r="L2" i="17"/>
  <c r="L4" i="17"/>
  <c r="L10" i="17"/>
  <c r="L6" i="17"/>
  <c r="L8" i="17"/>
  <c r="C5" i="17"/>
  <c r="L9" i="17"/>
  <c r="L12" i="17"/>
  <c r="K22" i="17"/>
  <c r="AD22" i="17"/>
  <c r="AD17" i="17"/>
  <c r="AD14" i="17"/>
  <c r="AD8" i="17"/>
  <c r="AD19" i="17"/>
  <c r="AD16" i="17"/>
  <c r="AD13" i="17"/>
  <c r="AD11" i="17"/>
  <c r="AD7" i="17"/>
  <c r="AD21" i="17"/>
  <c r="AD15" i="17"/>
  <c r="AD12" i="17"/>
  <c r="AD10" i="17"/>
  <c r="AD6" i="17"/>
  <c r="AD4" i="17"/>
  <c r="AD3" i="17"/>
  <c r="AD2" i="17"/>
  <c r="AD20" i="17"/>
  <c r="AD18" i="17"/>
  <c r="AD9" i="17"/>
  <c r="AD5" i="17"/>
  <c r="K19" i="17"/>
  <c r="K16" i="17"/>
  <c r="K13" i="17"/>
  <c r="K11" i="17"/>
  <c r="K7" i="17"/>
  <c r="B42" i="17"/>
  <c r="K15" i="17"/>
  <c r="K10" i="17"/>
  <c r="K6" i="17"/>
  <c r="K4" i="17"/>
  <c r="K3" i="17"/>
  <c r="K9" i="17"/>
  <c r="K5" i="17"/>
  <c r="K8" i="17"/>
  <c r="Q3" i="17"/>
  <c r="Q4" i="17" s="1"/>
  <c r="Q5" i="17" s="1"/>
  <c r="Q6" i="17" s="1"/>
  <c r="Q7" i="17" s="1"/>
  <c r="Q8" i="17" s="1"/>
  <c r="Q9" i="17" s="1"/>
  <c r="Q10" i="17" s="1"/>
  <c r="Q11" i="17" s="1"/>
  <c r="Q12" i="17" s="1"/>
  <c r="Q13" i="17" s="1"/>
  <c r="Q14" i="17" s="1"/>
  <c r="Q15" i="17" s="1"/>
  <c r="Q16" i="17" s="1"/>
  <c r="Q17" i="17" s="1"/>
  <c r="Q18" i="17" s="1"/>
  <c r="Q19" i="17" s="1"/>
  <c r="Q20" i="17" s="1"/>
  <c r="Q21" i="17" s="1"/>
  <c r="Q22" i="17" s="1"/>
  <c r="Z59" i="17" s="1"/>
  <c r="I2" i="17"/>
  <c r="AB2" i="17" s="1"/>
  <c r="I5" i="17"/>
  <c r="I9" i="17"/>
  <c r="L11" i="17"/>
  <c r="I12" i="17"/>
  <c r="L13" i="17"/>
  <c r="K14" i="17"/>
  <c r="L16" i="17"/>
  <c r="K17" i="17"/>
  <c r="I18" i="17"/>
  <c r="L19" i="17"/>
  <c r="I20" i="17"/>
  <c r="L22" i="17"/>
  <c r="B33" i="17"/>
  <c r="I3" i="17"/>
  <c r="I4" i="17"/>
  <c r="I6" i="17"/>
  <c r="I10" i="17"/>
  <c r="K12" i="17"/>
  <c r="L14" i="17"/>
  <c r="I15" i="17"/>
  <c r="L17" i="17"/>
  <c r="K18" i="17"/>
  <c r="K20" i="17"/>
  <c r="I21" i="17"/>
  <c r="B41" i="17"/>
  <c r="I7" i="17"/>
  <c r="I11" i="17"/>
  <c r="I13" i="17"/>
  <c r="I16" i="17"/>
  <c r="L18" i="17"/>
  <c r="I19" i="17"/>
  <c r="L20" i="17"/>
  <c r="K21" i="17"/>
  <c r="I22" i="17"/>
  <c r="B30" i="17"/>
  <c r="B31" i="17"/>
  <c r="B38" i="17"/>
  <c r="I8" i="17"/>
  <c r="I14" i="17"/>
  <c r="L15" i="17"/>
  <c r="I17" i="17"/>
  <c r="B14" i="8"/>
  <c r="S29" i="8"/>
  <c r="S28" i="8"/>
  <c r="S27" i="8"/>
  <c r="S25" i="8"/>
  <c r="S24" i="8"/>
  <c r="S23" i="8"/>
  <c r="O39" i="8"/>
  <c r="O30" i="8"/>
  <c r="O27" i="8"/>
  <c r="O26" i="8"/>
  <c r="O24" i="8"/>
  <c r="H28" i="8"/>
  <c r="H27" i="8"/>
  <c r="H26" i="8"/>
  <c r="H25" i="8"/>
  <c r="H24" i="8"/>
  <c r="H23" i="8"/>
  <c r="E28" i="8"/>
  <c r="E27" i="8"/>
  <c r="E26" i="8"/>
  <c r="E25" i="8"/>
  <c r="E24" i="8"/>
  <c r="E23" i="8"/>
  <c r="AN44" i="20" l="1"/>
  <c r="BB44" i="20" s="1"/>
  <c r="T5" i="20"/>
  <c r="V5" i="20" s="1"/>
  <c r="V4" i="20"/>
  <c r="V3" i="20"/>
  <c r="I26" i="19"/>
  <c r="AZ59" i="20"/>
  <c r="AV62" i="20" s="1"/>
  <c r="Y62" i="20"/>
  <c r="AJ73" i="20" s="1"/>
  <c r="W62" i="20"/>
  <c r="X62" i="20"/>
  <c r="AI73" i="20" s="1"/>
  <c r="AI37" i="20"/>
  <c r="AN53" i="20"/>
  <c r="BB53" i="20" s="1"/>
  <c r="AB53" i="20"/>
  <c r="T18" i="20"/>
  <c r="AB18" i="20"/>
  <c r="W18" i="20"/>
  <c r="AN57" i="20"/>
  <c r="BB57" i="20" s="1"/>
  <c r="AB57" i="20"/>
  <c r="AB22" i="20"/>
  <c r="W22" i="20"/>
  <c r="T22" i="20"/>
  <c r="BB37" i="20"/>
  <c r="AO56" i="20"/>
  <c r="BC56" i="20" s="1"/>
  <c r="S21" i="20"/>
  <c r="V21" i="20" s="1"/>
  <c r="AC56" i="20"/>
  <c r="AA53" i="20"/>
  <c r="AM53" i="20"/>
  <c r="BA53" i="20" s="1"/>
  <c r="AN49" i="20"/>
  <c r="BB49" i="20" s="1"/>
  <c r="AB49" i="20"/>
  <c r="T14" i="20"/>
  <c r="V14" i="20" s="1"/>
  <c r="AB14" i="20"/>
  <c r="W14" i="20"/>
  <c r="AB54" i="20"/>
  <c r="W19" i="20"/>
  <c r="AN54" i="20"/>
  <c r="BB54" i="20" s="1"/>
  <c r="AB19" i="20"/>
  <c r="T19" i="20"/>
  <c r="V19" i="20" s="1"/>
  <c r="AB42" i="20"/>
  <c r="AN42" i="20"/>
  <c r="BB42" i="20" s="1"/>
  <c r="W7" i="20"/>
  <c r="T7" i="20"/>
  <c r="V7" i="20" s="1"/>
  <c r="AB7" i="20"/>
  <c r="AN45" i="20"/>
  <c r="BB45" i="20" s="1"/>
  <c r="AB45" i="20"/>
  <c r="AB10" i="20"/>
  <c r="W10" i="20"/>
  <c r="T10" i="20"/>
  <c r="V10" i="20" s="1"/>
  <c r="AN47" i="20"/>
  <c r="BB47" i="20" s="1"/>
  <c r="AB47" i="20"/>
  <c r="AB12" i="20"/>
  <c r="W12" i="20"/>
  <c r="T12" i="20"/>
  <c r="AB52" i="20"/>
  <c r="AN52" i="20"/>
  <c r="BB52" i="20" s="1"/>
  <c r="T17" i="20"/>
  <c r="AB17" i="20"/>
  <c r="W17" i="20"/>
  <c r="AA47" i="20"/>
  <c r="AA58" i="20" s="1"/>
  <c r="AM47" i="20"/>
  <c r="BA47" i="20" s="1"/>
  <c r="S12" i="20"/>
  <c r="AN43" i="20"/>
  <c r="BB43" i="20" s="1"/>
  <c r="AB43" i="20"/>
  <c r="T8" i="20"/>
  <c r="V8" i="20" s="1"/>
  <c r="AB8" i="20"/>
  <c r="W8" i="20"/>
  <c r="L26" i="20"/>
  <c r="AB46" i="20"/>
  <c r="AN46" i="20"/>
  <c r="BB46" i="20" s="1"/>
  <c r="W11" i="20"/>
  <c r="T11" i="20"/>
  <c r="V11" i="20" s="1"/>
  <c r="AB11" i="20"/>
  <c r="BC37" i="20"/>
  <c r="AB50" i="20"/>
  <c r="AN50" i="20"/>
  <c r="BB50" i="20" s="1"/>
  <c r="AB15" i="20"/>
  <c r="W15" i="20"/>
  <c r="T15" i="20"/>
  <c r="U30" i="20"/>
  <c r="X30" i="20"/>
  <c r="I26" i="20"/>
  <c r="BA37" i="20"/>
  <c r="Z62" i="20"/>
  <c r="AK73" i="20" s="1"/>
  <c r="AC57" i="20"/>
  <c r="AO57" i="20"/>
  <c r="BC57" i="20" s="1"/>
  <c r="S22" i="20"/>
  <c r="V22" i="20" s="1"/>
  <c r="AB51" i="20"/>
  <c r="AN51" i="20"/>
  <c r="BB51" i="20" s="1"/>
  <c r="W16" i="20"/>
  <c r="T16" i="20"/>
  <c r="V16" i="20" s="1"/>
  <c r="AB16" i="20"/>
  <c r="AB48" i="20"/>
  <c r="AN48" i="20"/>
  <c r="BB48" i="20" s="1"/>
  <c r="W13" i="20"/>
  <c r="T13" i="20"/>
  <c r="V13" i="20" s="1"/>
  <c r="AB13" i="20"/>
  <c r="P7" i="20"/>
  <c r="P8" i="20" s="1"/>
  <c r="P9" i="20" s="1"/>
  <c r="P10" i="20" s="1"/>
  <c r="P11" i="20" s="1"/>
  <c r="P12" i="20" s="1"/>
  <c r="P13" i="20" s="1"/>
  <c r="P14" i="20" s="1"/>
  <c r="P15" i="20" s="1"/>
  <c r="P16" i="20" s="1"/>
  <c r="P17" i="20" s="1"/>
  <c r="P18" i="20" s="1"/>
  <c r="P19" i="20" s="1"/>
  <c r="P20" i="20" s="1"/>
  <c r="P21" i="20" s="1"/>
  <c r="P22" i="20" s="1"/>
  <c r="AB21" i="20"/>
  <c r="AO62" i="20"/>
  <c r="AK74" i="20" s="1"/>
  <c r="BD58" i="20"/>
  <c r="BD62" i="20" s="1"/>
  <c r="AK75" i="20" s="1"/>
  <c r="V18" i="20"/>
  <c r="AC50" i="20"/>
  <c r="AC58" i="20" s="1"/>
  <c r="AC62" i="20" s="1"/>
  <c r="AN73" i="20" s="1"/>
  <c r="AO50" i="20"/>
  <c r="BC50" i="20" s="1"/>
  <c r="S15" i="20"/>
  <c r="AA56" i="20"/>
  <c r="AM56" i="20"/>
  <c r="BA56" i="20" s="1"/>
  <c r="V2" i="20"/>
  <c r="AH74" i="20"/>
  <c r="V17" i="20"/>
  <c r="AB55" i="20"/>
  <c r="AN55" i="20"/>
  <c r="BB55" i="20" s="1"/>
  <c r="T20" i="20"/>
  <c r="V20" i="20" s="1"/>
  <c r="AB20" i="20"/>
  <c r="W20" i="20"/>
  <c r="AK62" i="20"/>
  <c r="AJ74" i="20" s="1"/>
  <c r="AX37" i="20"/>
  <c r="AX62" i="20" s="1"/>
  <c r="AJ75" i="20" s="1"/>
  <c r="AA29" i="20"/>
  <c r="AZ59" i="19"/>
  <c r="W62" i="19"/>
  <c r="Y62" i="19"/>
  <c r="AJ73" i="19" s="1"/>
  <c r="Z62" i="19"/>
  <c r="AK73" i="19" s="1"/>
  <c r="AO52" i="19"/>
  <c r="BC52" i="19" s="1"/>
  <c r="AC52" i="19"/>
  <c r="S17" i="19"/>
  <c r="AX62" i="19"/>
  <c r="AJ75" i="19" s="1"/>
  <c r="AO50" i="19"/>
  <c r="BC50" i="19" s="1"/>
  <c r="AC50" i="19"/>
  <c r="S15" i="19"/>
  <c r="AN46" i="19"/>
  <c r="BB46" i="19" s="1"/>
  <c r="AB11" i="19"/>
  <c r="AB46" i="19"/>
  <c r="T11" i="19"/>
  <c r="V11" i="19" s="1"/>
  <c r="W11" i="19"/>
  <c r="BA37" i="19"/>
  <c r="BB37" i="19"/>
  <c r="AN51" i="19"/>
  <c r="BB51" i="19" s="1"/>
  <c r="AB16" i="19"/>
  <c r="W16" i="19"/>
  <c r="AB51" i="19"/>
  <c r="T16" i="19"/>
  <c r="AB52" i="19"/>
  <c r="AN52" i="19"/>
  <c r="BB52" i="19" s="1"/>
  <c r="W17" i="19"/>
  <c r="T17" i="19"/>
  <c r="AB17" i="19"/>
  <c r="AN38" i="19"/>
  <c r="BB38" i="19" s="1"/>
  <c r="T3" i="19"/>
  <c r="V3" i="19" s="1"/>
  <c r="AB38" i="19"/>
  <c r="AB3" i="19"/>
  <c r="W3" i="19"/>
  <c r="AB50" i="19"/>
  <c r="AN50" i="19"/>
  <c r="BB50" i="19" s="1"/>
  <c r="T15" i="19"/>
  <c r="AB15" i="19"/>
  <c r="W15" i="19"/>
  <c r="AE2" i="19"/>
  <c r="AM54" i="19"/>
  <c r="BA54" i="19" s="1"/>
  <c r="AA54" i="19"/>
  <c r="AA51" i="19"/>
  <c r="AM51" i="19"/>
  <c r="BA51" i="19" s="1"/>
  <c r="AA53" i="19"/>
  <c r="AM53" i="19"/>
  <c r="BA53" i="19" s="1"/>
  <c r="AN47" i="19"/>
  <c r="BB47" i="19" s="1"/>
  <c r="AB47" i="19"/>
  <c r="T12" i="19"/>
  <c r="W12" i="19"/>
  <c r="AB12" i="19"/>
  <c r="AA57" i="19"/>
  <c r="AM57" i="19"/>
  <c r="BA57" i="19" s="1"/>
  <c r="AC49" i="19"/>
  <c r="AO49" i="19"/>
  <c r="BC49" i="19" s="1"/>
  <c r="S14" i="19"/>
  <c r="AN44" i="19"/>
  <c r="BB44" i="19" s="1"/>
  <c r="AB44" i="19"/>
  <c r="AB9" i="19"/>
  <c r="W9" i="19"/>
  <c r="T9" i="19"/>
  <c r="BC37" i="19"/>
  <c r="AN45" i="19"/>
  <c r="BB45" i="19" s="1"/>
  <c r="AB45" i="19"/>
  <c r="T10" i="19"/>
  <c r="V10" i="19" s="1"/>
  <c r="W10" i="19"/>
  <c r="AB10" i="19"/>
  <c r="Z37" i="19"/>
  <c r="AA55" i="19"/>
  <c r="AM55" i="19"/>
  <c r="BA55" i="19" s="1"/>
  <c r="AM48" i="19"/>
  <c r="BA48" i="19" s="1"/>
  <c r="AA48" i="19"/>
  <c r="AC55" i="19"/>
  <c r="S20" i="19"/>
  <c r="AO55" i="19"/>
  <c r="BC55" i="19" s="1"/>
  <c r="S19" i="19"/>
  <c r="S16" i="19"/>
  <c r="X62" i="19"/>
  <c r="AI73" i="19" s="1"/>
  <c r="AI37" i="19"/>
  <c r="S18" i="19"/>
  <c r="AA47" i="19"/>
  <c r="AA58" i="19" s="1"/>
  <c r="AM47" i="19"/>
  <c r="BA47" i="19" s="1"/>
  <c r="AN42" i="19"/>
  <c r="BB42" i="19" s="1"/>
  <c r="AB7" i="19"/>
  <c r="AB42" i="19"/>
  <c r="T7" i="19"/>
  <c r="W7" i="19"/>
  <c r="V9" i="19"/>
  <c r="S12" i="19"/>
  <c r="V12" i="19" s="1"/>
  <c r="X30" i="19"/>
  <c r="U30" i="19"/>
  <c r="L26" i="19"/>
  <c r="V5" i="19"/>
  <c r="AC58" i="19"/>
  <c r="AC62" i="19" s="1"/>
  <c r="AN73" i="19" s="1"/>
  <c r="AB54" i="19"/>
  <c r="W19" i="19"/>
  <c r="AN54" i="19"/>
  <c r="BB54" i="19" s="1"/>
  <c r="AB19" i="19"/>
  <c r="T19" i="19"/>
  <c r="AN57" i="19"/>
  <c r="BB57" i="19" s="1"/>
  <c r="AB57" i="19"/>
  <c r="AB22" i="19"/>
  <c r="W22" i="19"/>
  <c r="T22" i="19"/>
  <c r="V22" i="19" s="1"/>
  <c r="AN39" i="19"/>
  <c r="BB39" i="19" s="1"/>
  <c r="T4" i="19"/>
  <c r="V4" i="19" s="1"/>
  <c r="AB39" i="19"/>
  <c r="W4" i="19"/>
  <c r="AB4" i="19"/>
  <c r="AB56" i="19"/>
  <c r="AB21" i="19"/>
  <c r="W21" i="19"/>
  <c r="T21" i="19"/>
  <c r="AN56" i="19"/>
  <c r="BB56" i="19" s="1"/>
  <c r="AO56" i="19"/>
  <c r="BC56" i="19" s="1"/>
  <c r="S21" i="19"/>
  <c r="V21" i="19" s="1"/>
  <c r="AC56" i="19"/>
  <c r="BD58" i="19"/>
  <c r="BD62" i="19" s="1"/>
  <c r="AK75" i="19" s="1"/>
  <c r="V2" i="19"/>
  <c r="R23" i="19"/>
  <c r="R30" i="19" s="1"/>
  <c r="AB48" i="19"/>
  <c r="AB13" i="19"/>
  <c r="AN48" i="19"/>
  <c r="BB48" i="19" s="1"/>
  <c r="W13" i="19"/>
  <c r="T13" i="19"/>
  <c r="V13" i="19" s="1"/>
  <c r="K26" i="19"/>
  <c r="K23" i="19" s="1"/>
  <c r="AB43" i="19"/>
  <c r="AN43" i="19"/>
  <c r="BB43" i="19" s="1"/>
  <c r="W8" i="19"/>
  <c r="T8" i="19"/>
  <c r="V8" i="19" s="1"/>
  <c r="AB8" i="19"/>
  <c r="AN53" i="19"/>
  <c r="BB53" i="19" s="1"/>
  <c r="AB53" i="19"/>
  <c r="T18" i="19"/>
  <c r="AB18" i="19"/>
  <c r="W18" i="19"/>
  <c r="AB41" i="19"/>
  <c r="T6" i="19"/>
  <c r="V6" i="19" s="1"/>
  <c r="AN41" i="19"/>
  <c r="BB41" i="19" s="1"/>
  <c r="W6" i="19"/>
  <c r="X2" i="19" s="1"/>
  <c r="AB6" i="19"/>
  <c r="AN55" i="19"/>
  <c r="BB55" i="19" s="1"/>
  <c r="T20" i="19"/>
  <c r="AB20" i="19"/>
  <c r="AB55" i="19"/>
  <c r="W20" i="19"/>
  <c r="AV37" i="19"/>
  <c r="AL37" i="19"/>
  <c r="P12" i="19"/>
  <c r="P13" i="19" s="1"/>
  <c r="P14" i="19" s="1"/>
  <c r="P15" i="19" s="1"/>
  <c r="P16" i="19" s="1"/>
  <c r="P17" i="19" s="1"/>
  <c r="P18" i="19" s="1"/>
  <c r="P19" i="19" s="1"/>
  <c r="P20" i="19" s="1"/>
  <c r="P21" i="19" s="1"/>
  <c r="P22" i="19" s="1"/>
  <c r="V7" i="19"/>
  <c r="AN49" i="19"/>
  <c r="BB49" i="19" s="1"/>
  <c r="AB49" i="19"/>
  <c r="W14" i="19"/>
  <c r="T14" i="19"/>
  <c r="AB14" i="19"/>
  <c r="AZ59" i="18"/>
  <c r="AX62" i="18" s="1"/>
  <c r="AJ75" i="18" s="1"/>
  <c r="W62" i="18"/>
  <c r="Y62" i="18"/>
  <c r="AJ73" i="18" s="1"/>
  <c r="X62" i="18"/>
  <c r="AI73" i="18" s="1"/>
  <c r="B45" i="18"/>
  <c r="Y37" i="18"/>
  <c r="M22" i="18"/>
  <c r="AM39" i="18"/>
  <c r="BA39" i="18" s="1"/>
  <c r="AA39" i="18"/>
  <c r="AA57" i="18"/>
  <c r="AM57" i="18"/>
  <c r="BA57" i="18" s="1"/>
  <c r="AA51" i="18"/>
  <c r="AM51" i="18"/>
  <c r="BA51" i="18" s="1"/>
  <c r="AC43" i="18"/>
  <c r="AO43" i="18"/>
  <c r="BC43" i="18" s="1"/>
  <c r="S8" i="18"/>
  <c r="V8" i="18" s="1"/>
  <c r="L26" i="18"/>
  <c r="AA37" i="18"/>
  <c r="AM37" i="18"/>
  <c r="P2" i="18"/>
  <c r="P3" i="18" s="1"/>
  <c r="P4" i="18" s="1"/>
  <c r="P5" i="18" s="1"/>
  <c r="P6" i="18" s="1"/>
  <c r="P7" i="18" s="1"/>
  <c r="P8" i="18" s="1"/>
  <c r="P9" i="18" s="1"/>
  <c r="P10" i="18" s="1"/>
  <c r="P11" i="18" s="1"/>
  <c r="P12" i="18" s="1"/>
  <c r="P13" i="18" s="1"/>
  <c r="P14" i="18" s="1"/>
  <c r="P15" i="18" s="1"/>
  <c r="P16" i="18" s="1"/>
  <c r="P17" i="18" s="1"/>
  <c r="P18" i="18" s="1"/>
  <c r="P19" i="18" s="1"/>
  <c r="P20" i="18" s="1"/>
  <c r="P21" i="18" s="1"/>
  <c r="P22" i="18" s="1"/>
  <c r="AB47" i="18"/>
  <c r="AN47" i="18"/>
  <c r="BB47" i="18" s="1"/>
  <c r="T12" i="18"/>
  <c r="AB12" i="18"/>
  <c r="W12" i="18"/>
  <c r="AB41" i="18"/>
  <c r="AN41" i="18"/>
  <c r="BB41" i="18" s="1"/>
  <c r="T6" i="18"/>
  <c r="AB6" i="18"/>
  <c r="W6" i="18"/>
  <c r="AN55" i="18"/>
  <c r="BB55" i="18" s="1"/>
  <c r="AB20" i="18"/>
  <c r="AB55" i="18"/>
  <c r="W20" i="18"/>
  <c r="T20" i="18"/>
  <c r="AM47" i="18"/>
  <c r="BA47" i="18" s="1"/>
  <c r="AA47" i="18"/>
  <c r="AA40" i="18"/>
  <c r="AM40" i="18"/>
  <c r="BA40" i="18" s="1"/>
  <c r="S3" i="18"/>
  <c r="V3" i="18" s="1"/>
  <c r="S12" i="18"/>
  <c r="V12" i="18" s="1"/>
  <c r="AA49" i="18"/>
  <c r="AM49" i="18"/>
  <c r="BA49" i="18" s="1"/>
  <c r="AC49" i="18"/>
  <c r="AO49" i="18"/>
  <c r="BC49" i="18" s="1"/>
  <c r="S14" i="18"/>
  <c r="AW37" i="18"/>
  <c r="AW62" i="18" s="1"/>
  <c r="AI75" i="18" s="1"/>
  <c r="AA38" i="18"/>
  <c r="AM38" i="18"/>
  <c r="BA38" i="18" s="1"/>
  <c r="AA55" i="18"/>
  <c r="AM55" i="18"/>
  <c r="BA55" i="18" s="1"/>
  <c r="AB54" i="18"/>
  <c r="AN54" i="18"/>
  <c r="BB54" i="18" s="1"/>
  <c r="W19" i="18"/>
  <c r="T19" i="18"/>
  <c r="AB19" i="18"/>
  <c r="S20" i="18"/>
  <c r="V20" i="18" s="1"/>
  <c r="AC55" i="18"/>
  <c r="AO55" i="18"/>
  <c r="BC55" i="18" s="1"/>
  <c r="AO42" i="18"/>
  <c r="BC42" i="18" s="1"/>
  <c r="AC42" i="18"/>
  <c r="AC58" i="18" s="1"/>
  <c r="AC62" i="18" s="1"/>
  <c r="AN73" i="18" s="1"/>
  <c r="S7" i="18"/>
  <c r="V7" i="18" s="1"/>
  <c r="AC56" i="18"/>
  <c r="AO56" i="18"/>
  <c r="BC56" i="18" s="1"/>
  <c r="S21" i="18"/>
  <c r="AO54" i="18"/>
  <c r="BC54" i="18" s="1"/>
  <c r="AC54" i="18"/>
  <c r="S19" i="18"/>
  <c r="AC48" i="18"/>
  <c r="AO48" i="18"/>
  <c r="BC48" i="18" s="1"/>
  <c r="S13" i="18"/>
  <c r="V13" i="18" s="1"/>
  <c r="AA44" i="18"/>
  <c r="AM44" i="18"/>
  <c r="BA44" i="18" s="1"/>
  <c r="AA41" i="18"/>
  <c r="AM41" i="18"/>
  <c r="BA41" i="18" s="1"/>
  <c r="AA42" i="18"/>
  <c r="AM42" i="18"/>
  <c r="BA42" i="18" s="1"/>
  <c r="AA54" i="18"/>
  <c r="AM54" i="18"/>
  <c r="BA54" i="18" s="1"/>
  <c r="AC53" i="18"/>
  <c r="AO53" i="18"/>
  <c r="BC53" i="18" s="1"/>
  <c r="S18" i="18"/>
  <c r="V18" i="18" s="1"/>
  <c r="S9" i="18"/>
  <c r="AB37" i="18"/>
  <c r="AN37" i="18"/>
  <c r="I26" i="18"/>
  <c r="T2" i="18"/>
  <c r="AB2" i="18"/>
  <c r="W2" i="18"/>
  <c r="AB53" i="18"/>
  <c r="AN53" i="18"/>
  <c r="BB53" i="18" s="1"/>
  <c r="W18" i="18"/>
  <c r="T18" i="18"/>
  <c r="AB18" i="18"/>
  <c r="AB45" i="18"/>
  <c r="AN45" i="18"/>
  <c r="BB45" i="18" s="1"/>
  <c r="T10" i="18"/>
  <c r="AB10" i="18"/>
  <c r="W10" i="18"/>
  <c r="AB57" i="18"/>
  <c r="T22" i="18"/>
  <c r="W22" i="18"/>
  <c r="AN57" i="18"/>
  <c r="BB57" i="18" s="1"/>
  <c r="AB22" i="18"/>
  <c r="W13" i="18"/>
  <c r="AM52" i="18"/>
  <c r="BA52" i="18" s="1"/>
  <c r="AA52" i="18"/>
  <c r="S4" i="18"/>
  <c r="V4" i="18" s="1"/>
  <c r="K26" i="18"/>
  <c r="K23" i="18" s="1"/>
  <c r="W8" i="18"/>
  <c r="AO46" i="18"/>
  <c r="BC46" i="18" s="1"/>
  <c r="AC46" i="18"/>
  <c r="S11" i="18"/>
  <c r="V11" i="18" s="1"/>
  <c r="AA50" i="18"/>
  <c r="AM50" i="18"/>
  <c r="BA50" i="18" s="1"/>
  <c r="AB49" i="18"/>
  <c r="AN49" i="18"/>
  <c r="BB49" i="18" s="1"/>
  <c r="W14" i="18"/>
  <c r="AB14" i="18"/>
  <c r="T14" i="18"/>
  <c r="AC52" i="18"/>
  <c r="AO52" i="18"/>
  <c r="BC52" i="18" s="1"/>
  <c r="S17" i="18"/>
  <c r="V17" i="18" s="1"/>
  <c r="AV37" i="18"/>
  <c r="AL37" i="18"/>
  <c r="AO51" i="18"/>
  <c r="BC51" i="18" s="1"/>
  <c r="AC51" i="18"/>
  <c r="S16" i="18"/>
  <c r="V16" i="18" s="1"/>
  <c r="BD47" i="18"/>
  <c r="AP47" i="18"/>
  <c r="N26" i="18"/>
  <c r="AA45" i="18"/>
  <c r="AM45" i="18"/>
  <c r="BA45" i="18" s="1"/>
  <c r="AA46" i="18"/>
  <c r="AM46" i="18"/>
  <c r="BA46" i="18" s="1"/>
  <c r="AM56" i="18"/>
  <c r="BA56" i="18" s="1"/>
  <c r="AA56" i="18"/>
  <c r="AC57" i="18"/>
  <c r="AO57" i="18"/>
  <c r="BC57" i="18" s="1"/>
  <c r="S22" i="18"/>
  <c r="V22" i="18" s="1"/>
  <c r="S10" i="18"/>
  <c r="V10" i="18" s="1"/>
  <c r="V6" i="18"/>
  <c r="Y2" i="18"/>
  <c r="AN40" i="18"/>
  <c r="BB40" i="18" s="1"/>
  <c r="AB40" i="18"/>
  <c r="T5" i="18"/>
  <c r="V5" i="18" s="1"/>
  <c r="W5" i="18"/>
  <c r="AB5" i="18"/>
  <c r="W21" i="18"/>
  <c r="AB56" i="18"/>
  <c r="T21" i="18"/>
  <c r="AN56" i="18"/>
  <c r="BB56" i="18" s="1"/>
  <c r="AB21" i="18"/>
  <c r="AB50" i="18"/>
  <c r="AN50" i="18"/>
  <c r="BB50" i="18" s="1"/>
  <c r="T15" i="18"/>
  <c r="V15" i="18" s="1"/>
  <c r="AB15" i="18"/>
  <c r="W15" i="18"/>
  <c r="W11" i="18"/>
  <c r="AB7" i="18"/>
  <c r="W4" i="18"/>
  <c r="AB3" i="18"/>
  <c r="AE2" i="18"/>
  <c r="AL59" i="18" s="1"/>
  <c r="AK62" i="18" s="1"/>
  <c r="AJ74" i="18" s="1"/>
  <c r="BC37" i="18"/>
  <c r="W16" i="18"/>
  <c r="AM48" i="18"/>
  <c r="BA48" i="18" s="1"/>
  <c r="AA48" i="18"/>
  <c r="AN44" i="18"/>
  <c r="BB44" i="18" s="1"/>
  <c r="AB44" i="18"/>
  <c r="T9" i="18"/>
  <c r="AB9" i="18"/>
  <c r="W9" i="18"/>
  <c r="V2" i="18"/>
  <c r="AM43" i="18"/>
  <c r="BA43" i="18" s="1"/>
  <c r="AA43" i="18"/>
  <c r="AN57" i="17"/>
  <c r="BB57" i="17" s="1"/>
  <c r="BC37" i="17"/>
  <c r="AA57" i="17"/>
  <c r="AM57" i="17"/>
  <c r="BA57" i="17" s="1"/>
  <c r="W62" i="17"/>
  <c r="AH73" i="17" s="1"/>
  <c r="AZ59" i="17"/>
  <c r="AC57" i="17"/>
  <c r="AO57" i="17"/>
  <c r="BC57" i="17" s="1"/>
  <c r="AC54" i="17"/>
  <c r="AO54" i="17"/>
  <c r="BC54" i="17" s="1"/>
  <c r="AM50" i="17"/>
  <c r="BA50" i="17" s="1"/>
  <c r="AA50" i="17"/>
  <c r="AA55" i="17"/>
  <c r="AM55" i="17"/>
  <c r="BA55" i="17" s="1"/>
  <c r="T13" i="17"/>
  <c r="AB48" i="17"/>
  <c r="AN48" i="17"/>
  <c r="BB48" i="17" s="1"/>
  <c r="AM52" i="17"/>
  <c r="BA52" i="17" s="1"/>
  <c r="AA52" i="17"/>
  <c r="T10" i="17"/>
  <c r="AN45" i="17"/>
  <c r="BB45" i="17" s="1"/>
  <c r="AB45" i="17"/>
  <c r="T18" i="17"/>
  <c r="AN53" i="17"/>
  <c r="BB53" i="17" s="1"/>
  <c r="AB53" i="17"/>
  <c r="AC40" i="17"/>
  <c r="AO40" i="17"/>
  <c r="BC40" i="17" s="1"/>
  <c r="AC42" i="17"/>
  <c r="AO42" i="17"/>
  <c r="BC42" i="17" s="1"/>
  <c r="AM44" i="17"/>
  <c r="BA44" i="17" s="1"/>
  <c r="AA44" i="17"/>
  <c r="Y37" i="17"/>
  <c r="T19" i="17"/>
  <c r="AN54" i="17"/>
  <c r="BB54" i="17" s="1"/>
  <c r="AB54" i="17"/>
  <c r="T11" i="17"/>
  <c r="AN46" i="17"/>
  <c r="BB46" i="17" s="1"/>
  <c r="AB46" i="17"/>
  <c r="T21" i="17"/>
  <c r="AB56" i="17"/>
  <c r="AN56" i="17"/>
  <c r="BB56" i="17" s="1"/>
  <c r="T15" i="17"/>
  <c r="AN50" i="17"/>
  <c r="BB50" i="17" s="1"/>
  <c r="AB50" i="17"/>
  <c r="T6" i="17"/>
  <c r="AN41" i="17"/>
  <c r="BB41" i="17" s="1"/>
  <c r="AB41" i="17"/>
  <c r="AC52" i="17"/>
  <c r="AO52" i="17"/>
  <c r="BC52" i="17" s="1"/>
  <c r="T12" i="17"/>
  <c r="AB47" i="17"/>
  <c r="AN47" i="17"/>
  <c r="BB47" i="17" s="1"/>
  <c r="AN37" i="17"/>
  <c r="AB37" i="17"/>
  <c r="W2" i="17"/>
  <c r="AO45" i="17"/>
  <c r="BC45" i="17" s="1"/>
  <c r="AC45" i="17"/>
  <c r="AC46" i="17"/>
  <c r="AO46" i="17"/>
  <c r="BC46" i="17" s="1"/>
  <c r="T8" i="17"/>
  <c r="AB43" i="17"/>
  <c r="AN43" i="17"/>
  <c r="BB43" i="17" s="1"/>
  <c r="T22" i="17"/>
  <c r="AB57" i="17"/>
  <c r="AA53" i="17"/>
  <c r="AM53" i="17"/>
  <c r="BA53" i="17" s="1"/>
  <c r="T7" i="17"/>
  <c r="AN42" i="17"/>
  <c r="BB42" i="17" s="1"/>
  <c r="AB42" i="17"/>
  <c r="AC55" i="17"/>
  <c r="AO55" i="17"/>
  <c r="BC55" i="17" s="1"/>
  <c r="AM49" i="17"/>
  <c r="BA49" i="17" s="1"/>
  <c r="AA49" i="17"/>
  <c r="T4" i="17"/>
  <c r="AB39" i="17"/>
  <c r="AN39" i="17"/>
  <c r="BB39" i="17" s="1"/>
  <c r="T20" i="17"/>
  <c r="AB55" i="17"/>
  <c r="AN55" i="17"/>
  <c r="BB55" i="17" s="1"/>
  <c r="AA51" i="17"/>
  <c r="AM51" i="17"/>
  <c r="BA51" i="17" s="1"/>
  <c r="AM46" i="17"/>
  <c r="BA46" i="17" s="1"/>
  <c r="AA46" i="17"/>
  <c r="S3" i="17"/>
  <c r="AC38" i="17"/>
  <c r="AO38" i="17"/>
  <c r="BC38" i="17" s="1"/>
  <c r="AC50" i="17"/>
  <c r="AO50" i="17"/>
  <c r="BC50" i="17" s="1"/>
  <c r="AC48" i="17"/>
  <c r="AO48" i="17"/>
  <c r="BC48" i="17" s="1"/>
  <c r="AA43" i="17"/>
  <c r="AM43" i="17"/>
  <c r="BA43" i="17" s="1"/>
  <c r="AM37" i="17"/>
  <c r="AA37" i="17"/>
  <c r="AM40" i="17"/>
  <c r="BA40" i="17" s="1"/>
  <c r="AA40" i="17"/>
  <c r="AI37" i="17"/>
  <c r="X62" i="17"/>
  <c r="AI73" i="17" s="1"/>
  <c r="T17" i="17"/>
  <c r="AB52" i="17"/>
  <c r="AN52" i="17"/>
  <c r="BB52" i="17" s="1"/>
  <c r="S21" i="17"/>
  <c r="AC56" i="17"/>
  <c r="AO56" i="17"/>
  <c r="BC56" i="17" s="1"/>
  <c r="T16" i="17"/>
  <c r="AB51" i="17"/>
  <c r="AN51" i="17"/>
  <c r="BB51" i="17" s="1"/>
  <c r="AA2" i="17"/>
  <c r="AO53" i="17"/>
  <c r="BC53" i="17" s="1"/>
  <c r="AC53" i="17"/>
  <c r="S12" i="17"/>
  <c r="AC47" i="17"/>
  <c r="AO47" i="17"/>
  <c r="BC47" i="17" s="1"/>
  <c r="T3" i="17"/>
  <c r="AN38" i="17"/>
  <c r="BB38" i="17" s="1"/>
  <c r="AB38" i="17"/>
  <c r="AA54" i="17"/>
  <c r="AM54" i="17"/>
  <c r="BA54" i="17" s="1"/>
  <c r="AO49" i="17"/>
  <c r="BC49" i="17" s="1"/>
  <c r="AC49" i="17"/>
  <c r="T9" i="17"/>
  <c r="AB44" i="17"/>
  <c r="AN44" i="17"/>
  <c r="BB44" i="17" s="1"/>
  <c r="AC43" i="17"/>
  <c r="AO43" i="17"/>
  <c r="BC43" i="17" s="1"/>
  <c r="S4" i="17"/>
  <c r="AC39" i="17"/>
  <c r="AO39" i="17"/>
  <c r="BC39" i="17" s="1"/>
  <c r="AC51" i="17"/>
  <c r="AO51" i="17"/>
  <c r="BC51" i="17" s="1"/>
  <c r="AA47" i="17"/>
  <c r="AM47" i="17"/>
  <c r="BA47" i="17" s="1"/>
  <c r="AM41" i="17"/>
  <c r="BA41" i="17" s="1"/>
  <c r="AA41" i="17"/>
  <c r="AM42" i="17"/>
  <c r="BA42" i="17" s="1"/>
  <c r="AA42" i="17"/>
  <c r="AV37" i="17"/>
  <c r="AV62" i="17" s="1"/>
  <c r="AM48" i="17"/>
  <c r="BA48" i="17" s="1"/>
  <c r="AA48" i="17"/>
  <c r="T5" i="17"/>
  <c r="AB40" i="17"/>
  <c r="AN40" i="17"/>
  <c r="BB40" i="17" s="1"/>
  <c r="AO41" i="17"/>
  <c r="BC41" i="17" s="1"/>
  <c r="AC41" i="17"/>
  <c r="AM45" i="17"/>
  <c r="BA45" i="17" s="1"/>
  <c r="AA45" i="17"/>
  <c r="T14" i="17"/>
  <c r="AN49" i="17"/>
  <c r="BB49" i="17" s="1"/>
  <c r="AB49" i="17"/>
  <c r="AC44" i="17"/>
  <c r="AO44" i="17"/>
  <c r="BC44" i="17" s="1"/>
  <c r="AM39" i="17"/>
  <c r="BA39" i="17" s="1"/>
  <c r="AA39" i="17"/>
  <c r="AM38" i="17"/>
  <c r="BA38" i="17" s="1"/>
  <c r="AA38" i="17"/>
  <c r="AX37" i="17"/>
  <c r="AX62" i="17" s="1"/>
  <c r="AJ75" i="17" s="1"/>
  <c r="K26" i="17"/>
  <c r="K23" i="17" s="1"/>
  <c r="S8" i="17"/>
  <c r="V8" i="17" s="1"/>
  <c r="S9" i="17"/>
  <c r="S10" i="17"/>
  <c r="V10" i="17" s="1"/>
  <c r="S2" i="17"/>
  <c r="S20" i="17"/>
  <c r="S18" i="17"/>
  <c r="V18" i="17" s="1"/>
  <c r="S14" i="17"/>
  <c r="V14" i="17" s="1"/>
  <c r="S15" i="17"/>
  <c r="S13" i="17"/>
  <c r="V13" i="17" s="1"/>
  <c r="S22" i="17"/>
  <c r="V22" i="17" s="1"/>
  <c r="V3" i="17"/>
  <c r="S16" i="17"/>
  <c r="S17" i="17"/>
  <c r="V17" i="17" s="1"/>
  <c r="T2" i="17"/>
  <c r="S23" i="17" s="1"/>
  <c r="S30" i="17" s="1"/>
  <c r="S3" i="15" s="1"/>
  <c r="S5" i="17"/>
  <c r="V5" i="17" s="1"/>
  <c r="S6" i="17"/>
  <c r="V6" i="17" s="1"/>
  <c r="S7" i="17"/>
  <c r="V7" i="17" s="1"/>
  <c r="S19" i="17"/>
  <c r="V19" i="17" s="1"/>
  <c r="S11" i="17"/>
  <c r="V11" i="17" s="1"/>
  <c r="L26" i="17"/>
  <c r="AB7" i="17"/>
  <c r="W7" i="17"/>
  <c r="AB20" i="17"/>
  <c r="W20" i="17"/>
  <c r="I26" i="17"/>
  <c r="AE2" i="17"/>
  <c r="AL59" i="17" s="1"/>
  <c r="AK62" i="17" s="1"/>
  <c r="AJ74" i="17" s="1"/>
  <c r="W22" i="17"/>
  <c r="W4" i="17"/>
  <c r="AB4" i="17"/>
  <c r="P2" i="17"/>
  <c r="P3" i="17" s="1"/>
  <c r="P4" i="17" s="1"/>
  <c r="P5" i="17" s="1"/>
  <c r="P6" i="17" s="1"/>
  <c r="P7" i="17" s="1"/>
  <c r="P8" i="17" s="1"/>
  <c r="P9" i="17" s="1"/>
  <c r="P10" i="17" s="1"/>
  <c r="P11" i="17" s="1"/>
  <c r="AB16" i="17"/>
  <c r="W16" i="17"/>
  <c r="W3" i="17"/>
  <c r="AB3" i="17"/>
  <c r="AB9" i="17"/>
  <c r="W9" i="17"/>
  <c r="AB8" i="17"/>
  <c r="W8" i="17"/>
  <c r="AB17" i="17"/>
  <c r="W17" i="17"/>
  <c r="N12" i="17"/>
  <c r="Y2" i="17" s="1"/>
  <c r="B46" i="17"/>
  <c r="AB13" i="17"/>
  <c r="W13" i="17"/>
  <c r="W10" i="17"/>
  <c r="AB10" i="17"/>
  <c r="AB18" i="17"/>
  <c r="W18" i="17"/>
  <c r="AB5" i="17"/>
  <c r="W5" i="17"/>
  <c r="AB14" i="17"/>
  <c r="W14" i="17"/>
  <c r="B45" i="17"/>
  <c r="M22" i="17"/>
  <c r="AB19" i="17"/>
  <c r="W19" i="17"/>
  <c r="AB11" i="17"/>
  <c r="W11" i="17"/>
  <c r="W21" i="17"/>
  <c r="AB21" i="17"/>
  <c r="W15" i="17"/>
  <c r="AB15" i="17"/>
  <c r="W6" i="17"/>
  <c r="AB6" i="17"/>
  <c r="W12" i="17"/>
  <c r="S3" i="10"/>
  <c r="M3" i="10"/>
  <c r="H4" i="8"/>
  <c r="B8" i="8"/>
  <c r="B4" i="8"/>
  <c r="B18" i="8"/>
  <c r="B37" i="10"/>
  <c r="C17" i="10"/>
  <c r="R17" i="10"/>
  <c r="S17" i="10"/>
  <c r="T17" i="10"/>
  <c r="U17" i="10"/>
  <c r="C18" i="10"/>
  <c r="M18" i="10" s="1"/>
  <c r="L18" i="10"/>
  <c r="N18" i="10"/>
  <c r="O18" i="10"/>
  <c r="R18" i="10"/>
  <c r="S18" i="10"/>
  <c r="T18" i="10"/>
  <c r="U18" i="10"/>
  <c r="Y18" i="10"/>
  <c r="C19" i="10"/>
  <c r="L19" i="10" s="1"/>
  <c r="R19" i="10"/>
  <c r="S19" i="10"/>
  <c r="T19" i="10"/>
  <c r="U19" i="10"/>
  <c r="C20" i="10"/>
  <c r="L20" i="10" s="1"/>
  <c r="R20" i="10"/>
  <c r="S20" i="10"/>
  <c r="T20" i="10"/>
  <c r="U20" i="10"/>
  <c r="C21" i="10"/>
  <c r="M21" i="10" s="1"/>
  <c r="L21" i="10"/>
  <c r="R21" i="10"/>
  <c r="S21" i="10"/>
  <c r="T21" i="10"/>
  <c r="U21" i="10"/>
  <c r="C22" i="10"/>
  <c r="N22" i="10" s="1"/>
  <c r="L22" i="10"/>
  <c r="M22" i="10"/>
  <c r="R22" i="10"/>
  <c r="S22" i="10"/>
  <c r="T22" i="10"/>
  <c r="U22" i="10"/>
  <c r="C23" i="10"/>
  <c r="O23" i="10" s="1"/>
  <c r="L23" i="10"/>
  <c r="M23" i="10"/>
  <c r="N23" i="10"/>
  <c r="R23" i="10"/>
  <c r="S23" i="10"/>
  <c r="T23" i="10"/>
  <c r="U23" i="10"/>
  <c r="Y23" i="10"/>
  <c r="C24" i="10"/>
  <c r="L24" i="10"/>
  <c r="M24" i="10"/>
  <c r="N24" i="10"/>
  <c r="O24" i="10"/>
  <c r="R24" i="10"/>
  <c r="S24" i="10"/>
  <c r="T24" i="10"/>
  <c r="U24" i="10"/>
  <c r="Y24" i="10"/>
  <c r="C25" i="10"/>
  <c r="L25" i="10"/>
  <c r="M25" i="10"/>
  <c r="N25" i="10"/>
  <c r="O25" i="10"/>
  <c r="R25" i="10"/>
  <c r="S25" i="10"/>
  <c r="T25" i="10"/>
  <c r="U25" i="10"/>
  <c r="Y25" i="10"/>
  <c r="C26" i="10"/>
  <c r="L26" i="10"/>
  <c r="M26" i="10"/>
  <c r="N26" i="10"/>
  <c r="O26" i="10"/>
  <c r="R26" i="10"/>
  <c r="S26" i="10"/>
  <c r="T26" i="10"/>
  <c r="U26" i="10"/>
  <c r="Y26" i="10"/>
  <c r="C27" i="10"/>
  <c r="L27" i="10" s="1"/>
  <c r="R27" i="10"/>
  <c r="S27" i="10"/>
  <c r="T27" i="10"/>
  <c r="U27" i="10"/>
  <c r="C28" i="10"/>
  <c r="L28" i="10" s="1"/>
  <c r="R28" i="10"/>
  <c r="S28" i="10"/>
  <c r="T28" i="10"/>
  <c r="U28" i="10"/>
  <c r="C29" i="10"/>
  <c r="M29" i="10" s="1"/>
  <c r="L29" i="10"/>
  <c r="R29" i="10"/>
  <c r="S29" i="10"/>
  <c r="T29" i="10"/>
  <c r="U29" i="10"/>
  <c r="AB58" i="20" l="1"/>
  <c r="AB62" i="20" s="1"/>
  <c r="AM73" i="20" s="1"/>
  <c r="AC2" i="20"/>
  <c r="AF2" i="20" s="1"/>
  <c r="E4" i="20" s="1"/>
  <c r="X2" i="20"/>
  <c r="V15" i="20"/>
  <c r="S23" i="20"/>
  <c r="S30" i="20" s="1"/>
  <c r="AC2" i="19"/>
  <c r="V16" i="19"/>
  <c r="AB58" i="19"/>
  <c r="AB62" i="19" s="1"/>
  <c r="AM73" i="19" s="1"/>
  <c r="AD36" i="20"/>
  <c r="AA62" i="20"/>
  <c r="AL73" i="20" s="1"/>
  <c r="W30" i="20"/>
  <c r="Y30" i="20" s="1"/>
  <c r="Z2" i="20"/>
  <c r="D4" i="20" s="1"/>
  <c r="AH75" i="20"/>
  <c r="R23" i="20"/>
  <c r="R30" i="20" s="1"/>
  <c r="AM58" i="20"/>
  <c r="AO58" i="20"/>
  <c r="V12" i="20"/>
  <c r="AH73" i="20"/>
  <c r="AN58" i="20"/>
  <c r="AW37" i="20"/>
  <c r="AJ62" i="20"/>
  <c r="AL37" i="20"/>
  <c r="AF2" i="19"/>
  <c r="E4" i="19" s="1"/>
  <c r="AG2" i="19"/>
  <c r="F4" i="19" s="1"/>
  <c r="AA62" i="19"/>
  <c r="AL73" i="19" s="1"/>
  <c r="AD36" i="19"/>
  <c r="W30" i="19"/>
  <c r="Y30" i="19" s="1"/>
  <c r="Z2" i="19"/>
  <c r="D4" i="19" s="1"/>
  <c r="AV62" i="19"/>
  <c r="AO58" i="19"/>
  <c r="AN58" i="19"/>
  <c r="V18" i="19"/>
  <c r="V19" i="19"/>
  <c r="S23" i="19"/>
  <c r="S30" i="19" s="1"/>
  <c r="AW37" i="19"/>
  <c r="AW62" i="19" s="1"/>
  <c r="AI75" i="19" s="1"/>
  <c r="V15" i="19"/>
  <c r="V17" i="19"/>
  <c r="AD62" i="19"/>
  <c r="AH73" i="19"/>
  <c r="V20" i="19"/>
  <c r="V14" i="19"/>
  <c r="AL59" i="19"/>
  <c r="AA29" i="19"/>
  <c r="AM58" i="19"/>
  <c r="X30" i="18"/>
  <c r="U30" i="18"/>
  <c r="AA29" i="18"/>
  <c r="V19" i="18"/>
  <c r="V14" i="18"/>
  <c r="AM58" i="18"/>
  <c r="BA37" i="18"/>
  <c r="BD57" i="18"/>
  <c r="AP57" i="18"/>
  <c r="AP58" i="18" s="1"/>
  <c r="M26" i="18"/>
  <c r="V21" i="18"/>
  <c r="AO58" i="18"/>
  <c r="AV62" i="18"/>
  <c r="AZ36" i="18"/>
  <c r="X2" i="18"/>
  <c r="W30" i="18" s="1"/>
  <c r="Y30" i="18" s="1"/>
  <c r="AN58" i="18"/>
  <c r="BB37" i="18"/>
  <c r="V9" i="18"/>
  <c r="AA58" i="18"/>
  <c r="Z37" i="18"/>
  <c r="Z62" i="18"/>
  <c r="AK73" i="18" s="1"/>
  <c r="AI62" i="18"/>
  <c r="AC2" i="18"/>
  <c r="AB58" i="18"/>
  <c r="AB62" i="18" s="1"/>
  <c r="AM73" i="18" s="1"/>
  <c r="AH73" i="18"/>
  <c r="R23" i="18"/>
  <c r="R30" i="18" s="1"/>
  <c r="S23" i="18"/>
  <c r="S30" i="18" s="1"/>
  <c r="AJ62" i="18"/>
  <c r="AI74" i="18" s="1"/>
  <c r="AA29" i="17"/>
  <c r="AB12" i="17"/>
  <c r="AC2" i="17" s="1"/>
  <c r="M26" i="17"/>
  <c r="BD57" i="17"/>
  <c r="AP57" i="17"/>
  <c r="V21" i="17"/>
  <c r="AI62" i="17"/>
  <c r="BD47" i="17"/>
  <c r="AP47" i="17"/>
  <c r="AP58" i="17" s="1"/>
  <c r="V4" i="17"/>
  <c r="AB58" i="17"/>
  <c r="AB62" i="17" s="1"/>
  <c r="AM73" i="17" s="1"/>
  <c r="V12" i="17"/>
  <c r="AB22" i="17"/>
  <c r="AH75" i="17"/>
  <c r="V9" i="17"/>
  <c r="AJ62" i="17"/>
  <c r="AI74" i="17" s="1"/>
  <c r="BA37" i="17"/>
  <c r="AM58" i="17"/>
  <c r="AC58" i="17"/>
  <c r="AC62" i="17" s="1"/>
  <c r="AN73" i="17" s="1"/>
  <c r="BB37" i="17"/>
  <c r="AN58" i="17"/>
  <c r="AO58" i="17"/>
  <c r="AW37" i="17"/>
  <c r="V16" i="17"/>
  <c r="V20" i="17"/>
  <c r="AA58" i="17"/>
  <c r="V15" i="17"/>
  <c r="AL37" i="17"/>
  <c r="Z62" i="17"/>
  <c r="AK73" i="17" s="1"/>
  <c r="Z37" i="17"/>
  <c r="R23" i="17"/>
  <c r="R30" i="17" s="1"/>
  <c r="R3" i="15" s="1"/>
  <c r="V2" i="17"/>
  <c r="X2" i="17"/>
  <c r="W30" i="17" s="1"/>
  <c r="N26" i="17"/>
  <c r="P12" i="17"/>
  <c r="P13" i="17" s="1"/>
  <c r="P14" i="17" s="1"/>
  <c r="P15" i="17" s="1"/>
  <c r="P16" i="17" s="1"/>
  <c r="P17" i="17" s="1"/>
  <c r="P18" i="17" s="1"/>
  <c r="P19" i="17" s="1"/>
  <c r="P20" i="17" s="1"/>
  <c r="P21" i="17" s="1"/>
  <c r="P22" i="17" s="1"/>
  <c r="L17" i="10"/>
  <c r="M17" i="10"/>
  <c r="Y17" i="10"/>
  <c r="O17" i="10"/>
  <c r="O27" i="10"/>
  <c r="O19" i="10"/>
  <c r="N17" i="10"/>
  <c r="O28" i="10"/>
  <c r="Y27" i="10"/>
  <c r="N27" i="10"/>
  <c r="O20" i="10"/>
  <c r="Y19" i="10"/>
  <c r="N19" i="10"/>
  <c r="O29" i="10"/>
  <c r="Y28" i="10"/>
  <c r="N28" i="10"/>
  <c r="M27" i="10"/>
  <c r="O21" i="10"/>
  <c r="Y20" i="10"/>
  <c r="N20" i="10"/>
  <c r="M19" i="10"/>
  <c r="Y29" i="10"/>
  <c r="N29" i="10"/>
  <c r="M28" i="10"/>
  <c r="O22" i="10"/>
  <c r="Y21" i="10"/>
  <c r="N21" i="10"/>
  <c r="M20" i="10"/>
  <c r="Y22" i="10"/>
  <c r="AD62" i="20" l="1"/>
  <c r="AG2" i="20"/>
  <c r="F4" i="20" s="1"/>
  <c r="U23" i="20"/>
  <c r="U23" i="19"/>
  <c r="BC58" i="20"/>
  <c r="BC62" i="20" s="1"/>
  <c r="AN75" i="20" s="1"/>
  <c r="AN62" i="20"/>
  <c r="AN74" i="20" s="1"/>
  <c r="AL62" i="20"/>
  <c r="AL74" i="20" s="1"/>
  <c r="AR36" i="20"/>
  <c r="BA58" i="20"/>
  <c r="BB58" i="20"/>
  <c r="BB62" i="20" s="1"/>
  <c r="AM75" i="20" s="1"/>
  <c r="AM62" i="20"/>
  <c r="AM74" i="20" s="1"/>
  <c r="AI74" i="20"/>
  <c r="AR62" i="20"/>
  <c r="AO74" i="20" s="1"/>
  <c r="AO73" i="20"/>
  <c r="AW62" i="20"/>
  <c r="AZ36" i="20"/>
  <c r="AM62" i="19"/>
  <c r="AM74" i="19" s="1"/>
  <c r="BB58" i="19"/>
  <c r="BB62" i="19" s="1"/>
  <c r="AM75" i="19" s="1"/>
  <c r="AL62" i="19"/>
  <c r="AL74" i="19" s="1"/>
  <c r="BA58" i="19"/>
  <c r="AR36" i="19"/>
  <c r="BC58" i="19"/>
  <c r="BC62" i="19" s="1"/>
  <c r="AN75" i="19" s="1"/>
  <c r="AN62" i="19"/>
  <c r="AN74" i="19" s="1"/>
  <c r="AZ36" i="19"/>
  <c r="AK62" i="19"/>
  <c r="AJ74" i="19" s="1"/>
  <c r="AO62" i="19"/>
  <c r="AK74" i="19" s="1"/>
  <c r="AI62" i="19"/>
  <c r="AO73" i="19"/>
  <c r="AJ62" i="19"/>
  <c r="AI74" i="19" s="1"/>
  <c r="AH75" i="19"/>
  <c r="U23" i="18"/>
  <c r="BD58" i="18"/>
  <c r="BD62" i="18" s="1"/>
  <c r="AK75" i="18" s="1"/>
  <c r="AO62" i="18"/>
  <c r="AK74" i="18" s="1"/>
  <c r="AN62" i="18"/>
  <c r="AN74" i="18" s="1"/>
  <c r="BC58" i="18"/>
  <c r="BC62" i="18" s="1"/>
  <c r="AN75" i="18" s="1"/>
  <c r="AF2" i="18"/>
  <c r="E4" i="18" s="1"/>
  <c r="AG2" i="18"/>
  <c r="F4" i="18" s="1"/>
  <c r="AA62" i="18"/>
  <c r="AD36" i="18"/>
  <c r="AH74" i="18"/>
  <c r="AM62" i="18"/>
  <c r="AM74" i="18" s="1"/>
  <c r="BB58" i="18"/>
  <c r="BB62" i="18" s="1"/>
  <c r="AM75" i="18" s="1"/>
  <c r="AH75" i="18"/>
  <c r="BA58" i="18"/>
  <c r="AR36" i="18"/>
  <c r="AL62" i="18"/>
  <c r="AL74" i="18" s="1"/>
  <c r="Z2" i="18"/>
  <c r="D4" i="18" s="1"/>
  <c r="AM62" i="17"/>
  <c r="AM74" i="17" s="1"/>
  <c r="BB58" i="17"/>
  <c r="BB62" i="17" s="1"/>
  <c r="AM75" i="17" s="1"/>
  <c r="AO62" i="17"/>
  <c r="AK74" i="17" s="1"/>
  <c r="BD58" i="17"/>
  <c r="BD62" i="17" s="1"/>
  <c r="AK75" i="17" s="1"/>
  <c r="AZ36" i="17"/>
  <c r="AW62" i="17"/>
  <c r="BC58" i="17"/>
  <c r="BC62" i="17" s="1"/>
  <c r="AN75" i="17" s="1"/>
  <c r="AN62" i="17"/>
  <c r="AN74" i="17" s="1"/>
  <c r="AL62" i="17"/>
  <c r="AL74" i="17" s="1"/>
  <c r="BA58" i="17"/>
  <c r="AR36" i="17"/>
  <c r="AH74" i="17"/>
  <c r="AA62" i="17"/>
  <c r="AL73" i="17" s="1"/>
  <c r="AD36" i="17"/>
  <c r="U23" i="17"/>
  <c r="X30" i="17"/>
  <c r="Y30" i="17" s="1"/>
  <c r="U30" i="17"/>
  <c r="T3" i="15" s="1"/>
  <c r="AF2" i="17"/>
  <c r="E4" i="17" s="1"/>
  <c r="AG2" i="17"/>
  <c r="F4" i="17" s="1"/>
  <c r="Z2" i="17"/>
  <c r="D4" i="17" s="1"/>
  <c r="E4" i="8"/>
  <c r="E8" i="8"/>
  <c r="H5" i="8"/>
  <c r="C16" i="10"/>
  <c r="Y16" i="10" s="1"/>
  <c r="C15" i="10"/>
  <c r="Y15" i="10" s="1"/>
  <c r="C14" i="10"/>
  <c r="Y14" i="10" s="1"/>
  <c r="C13" i="10"/>
  <c r="Y13" i="10" s="1"/>
  <c r="C12" i="10"/>
  <c r="Y12" i="10" s="1"/>
  <c r="C11" i="10"/>
  <c r="Y11" i="10" s="1"/>
  <c r="Y10" i="10"/>
  <c r="C10" i="10"/>
  <c r="M10" i="10" s="1"/>
  <c r="C9" i="10"/>
  <c r="Y9" i="10" s="1"/>
  <c r="C8" i="10"/>
  <c r="Y8" i="10" s="1"/>
  <c r="C7" i="10"/>
  <c r="Y7" i="10" s="1"/>
  <c r="C6" i="10"/>
  <c r="Y6" i="10" s="1"/>
  <c r="C5" i="10"/>
  <c r="Y5" i="10" s="1"/>
  <c r="C4" i="10"/>
  <c r="Y4" i="10" s="1"/>
  <c r="I3" i="10"/>
  <c r="H46" i="10"/>
  <c r="C3" i="10"/>
  <c r="Y3" i="10" s="1"/>
  <c r="E5" i="8"/>
  <c r="E3" i="8"/>
  <c r="H8" i="8"/>
  <c r="B3" i="4"/>
  <c r="BA62" i="20" l="1"/>
  <c r="AL75" i="20" s="1"/>
  <c r="BF36" i="20"/>
  <c r="AI75" i="20"/>
  <c r="BF62" i="20"/>
  <c r="AO75" i="20" s="1"/>
  <c r="BA62" i="19"/>
  <c r="BF36" i="19"/>
  <c r="AR62" i="19"/>
  <c r="AH74" i="19"/>
  <c r="AR62" i="18"/>
  <c r="AO74" i="18" s="1"/>
  <c r="BF36" i="18"/>
  <c r="BA62" i="18"/>
  <c r="AL73" i="18"/>
  <c r="AD62" i="18"/>
  <c r="AO73" i="18" s="1"/>
  <c r="BA62" i="17"/>
  <c r="AL75" i="17" s="1"/>
  <c r="BF36" i="17"/>
  <c r="AI75" i="17"/>
  <c r="AD62" i="17"/>
  <c r="AO73" i="17" s="1"/>
  <c r="AR62" i="17"/>
  <c r="AO74" i="17" s="1"/>
  <c r="F4" i="10"/>
  <c r="H47" i="10" s="1"/>
  <c r="F5" i="10"/>
  <c r="H48" i="10" s="1"/>
  <c r="F29" i="10"/>
  <c r="H72" i="10" s="1"/>
  <c r="F23" i="10"/>
  <c r="H66" i="10" s="1"/>
  <c r="F6" i="10"/>
  <c r="H49" i="10" s="1"/>
  <c r="F14" i="10"/>
  <c r="H57" i="10" s="1"/>
  <c r="F22" i="10"/>
  <c r="H65" i="10" s="1"/>
  <c r="F7" i="10"/>
  <c r="H50" i="10" s="1"/>
  <c r="F8" i="10"/>
  <c r="H51" i="10" s="1"/>
  <c r="F16" i="10"/>
  <c r="H59" i="10" s="1"/>
  <c r="F24" i="10"/>
  <c r="H67" i="10" s="1"/>
  <c r="F18" i="10"/>
  <c r="H61" i="10" s="1"/>
  <c r="F19" i="10"/>
  <c r="H62" i="10" s="1"/>
  <c r="F12" i="10"/>
  <c r="H55" i="10" s="1"/>
  <c r="F28" i="10"/>
  <c r="H71" i="10" s="1"/>
  <c r="F13" i="10"/>
  <c r="H56" i="10" s="1"/>
  <c r="F9" i="10"/>
  <c r="H52" i="10" s="1"/>
  <c r="F17" i="10"/>
  <c r="H60" i="10" s="1"/>
  <c r="F25" i="10"/>
  <c r="H68" i="10" s="1"/>
  <c r="F10" i="10"/>
  <c r="H53" i="10" s="1"/>
  <c r="F26" i="10"/>
  <c r="H69" i="10" s="1"/>
  <c r="F11" i="10"/>
  <c r="H54" i="10" s="1"/>
  <c r="F27" i="10"/>
  <c r="H70" i="10" s="1"/>
  <c r="F20" i="10"/>
  <c r="H63" i="10" s="1"/>
  <c r="F21" i="10"/>
  <c r="H64" i="10" s="1"/>
  <c r="F15" i="10"/>
  <c r="H58" i="10" s="1"/>
  <c r="N3" i="10"/>
  <c r="O3" i="10"/>
  <c r="O13" i="10"/>
  <c r="N12" i="10"/>
  <c r="M11" i="10"/>
  <c r="L10" i="10"/>
  <c r="O5" i="10"/>
  <c r="N4" i="10"/>
  <c r="O14" i="10"/>
  <c r="N13" i="10"/>
  <c r="M12" i="10"/>
  <c r="M4" i="10"/>
  <c r="L3" i="10"/>
  <c r="L11" i="10"/>
  <c r="O6" i="10"/>
  <c r="N5" i="10"/>
  <c r="O15" i="10"/>
  <c r="N14" i="10"/>
  <c r="M13" i="10"/>
  <c r="L12" i="10"/>
  <c r="O7" i="10"/>
  <c r="N6" i="10"/>
  <c r="M5" i="10"/>
  <c r="L4" i="10"/>
  <c r="J3" i="10"/>
  <c r="O16" i="10"/>
  <c r="N15" i="10"/>
  <c r="M14" i="10"/>
  <c r="L13" i="10"/>
  <c r="O8" i="10"/>
  <c r="M16" i="10"/>
  <c r="L15" i="10"/>
  <c r="O10" i="10"/>
  <c r="N9" i="10"/>
  <c r="M8" i="10"/>
  <c r="L7" i="10"/>
  <c r="L16" i="10"/>
  <c r="O11" i="10"/>
  <c r="N10" i="10"/>
  <c r="M9" i="10"/>
  <c r="L8" i="10"/>
  <c r="N8" i="10"/>
  <c r="N11" i="10"/>
  <c r="N16" i="10"/>
  <c r="N7" i="10"/>
  <c r="M15" i="10"/>
  <c r="L6" i="10"/>
  <c r="L5" i="10"/>
  <c r="M6" i="10"/>
  <c r="L9" i="10"/>
  <c r="O12" i="10"/>
  <c r="O9" i="10"/>
  <c r="M7" i="10"/>
  <c r="O4" i="10"/>
  <c r="L14" i="10"/>
  <c r="AO74" i="19" l="1"/>
  <c r="AL75" i="19"/>
  <c r="BF62" i="19"/>
  <c r="AO75" i="19" s="1"/>
  <c r="AL75" i="18"/>
  <c r="BF62" i="18"/>
  <c r="AO75" i="18" s="1"/>
  <c r="BF62" i="17"/>
  <c r="AO75" i="17" s="1"/>
  <c r="R12" i="10"/>
  <c r="R4" i="10"/>
  <c r="T16" i="10"/>
  <c r="S15" i="10"/>
  <c r="R14" i="10"/>
  <c r="U9" i="10"/>
  <c r="T8" i="10"/>
  <c r="S7" i="10"/>
  <c r="R6" i="10"/>
  <c r="S16" i="10"/>
  <c r="R15" i="10"/>
  <c r="U10" i="10"/>
  <c r="T9" i="10"/>
  <c r="S8" i="10"/>
  <c r="R7" i="10"/>
  <c r="R16" i="10"/>
  <c r="U11" i="10"/>
  <c r="T10" i="10"/>
  <c r="S9" i="10"/>
  <c r="R8" i="10"/>
  <c r="U3" i="10"/>
  <c r="U12" i="10"/>
  <c r="T11" i="10"/>
  <c r="S10" i="10"/>
  <c r="R9" i="10"/>
  <c r="U14" i="10"/>
  <c r="T13" i="10"/>
  <c r="S12" i="10"/>
  <c r="R11" i="10"/>
  <c r="U6" i="10"/>
  <c r="T5" i="10"/>
  <c r="S4" i="10"/>
  <c r="R3" i="10"/>
  <c r="U15" i="10"/>
  <c r="T14" i="10"/>
  <c r="S13" i="10"/>
  <c r="U7" i="10"/>
  <c r="T6" i="10"/>
  <c r="S5" i="10"/>
  <c r="U5" i="10"/>
  <c r="T12" i="10"/>
  <c r="S6" i="10"/>
  <c r="R5" i="10"/>
  <c r="T15" i="10"/>
  <c r="T7" i="10"/>
  <c r="U13" i="10"/>
  <c r="R10" i="10"/>
  <c r="T3" i="10"/>
  <c r="R13" i="10"/>
  <c r="S14" i="10"/>
  <c r="T4" i="10"/>
  <c r="U16" i="10"/>
  <c r="S11" i="10"/>
  <c r="U8" i="10"/>
  <c r="U4" i="10"/>
  <c r="K17" i="8" l="1"/>
  <c r="E2" i="8"/>
  <c r="E9" i="8" s="1"/>
  <c r="H29" i="8" s="1"/>
  <c r="B2" i="8"/>
  <c r="S6" i="3"/>
  <c r="P9" i="3"/>
  <c r="S9" i="3" s="1"/>
  <c r="P4" i="3"/>
  <c r="P5" i="3"/>
  <c r="P6" i="3"/>
  <c r="P7" i="3"/>
  <c r="P8" i="3"/>
  <c r="P3" i="3"/>
  <c r="S3" i="3" s="1"/>
  <c r="N9" i="3"/>
  <c r="M9" i="3"/>
  <c r="S8" i="3"/>
  <c r="N8" i="3"/>
  <c r="M8" i="3"/>
  <c r="M3" i="3"/>
  <c r="E4" i="2"/>
  <c r="E5" i="2"/>
  <c r="E6" i="2"/>
  <c r="E7" i="2"/>
  <c r="E8" i="2"/>
  <c r="E9" i="2"/>
  <c r="E10" i="2"/>
  <c r="E11" i="2"/>
  <c r="E12" i="2"/>
  <c r="E13" i="2"/>
  <c r="E14" i="2"/>
  <c r="E15" i="2"/>
  <c r="E16" i="2"/>
  <c r="E17" i="2"/>
  <c r="E18" i="2"/>
  <c r="E19" i="2"/>
  <c r="E20" i="2"/>
  <c r="E21" i="2"/>
  <c r="E22" i="2"/>
  <c r="E3" i="2"/>
  <c r="B9" i="8" l="1"/>
  <c r="K3" i="8" s="1"/>
  <c r="W3" i="2"/>
  <c r="D3" i="2"/>
  <c r="D4" i="2"/>
  <c r="D5" i="2"/>
  <c r="D6" i="2"/>
  <c r="D7" i="2"/>
  <c r="D8" i="2"/>
  <c r="D9" i="2"/>
  <c r="D10" i="2"/>
  <c r="D11" i="2"/>
  <c r="D12" i="2"/>
  <c r="D13" i="2"/>
  <c r="D14" i="2"/>
  <c r="D15" i="2"/>
  <c r="D16" i="2"/>
  <c r="D17" i="2"/>
  <c r="D18" i="2"/>
  <c r="D19" i="2"/>
  <c r="D20" i="2"/>
  <c r="D21" i="2"/>
  <c r="D22" i="2"/>
  <c r="B28" i="2"/>
  <c r="J4" i="2"/>
  <c r="J3" i="2"/>
  <c r="K18" i="1"/>
  <c r="K17" i="1"/>
  <c r="K13" i="1"/>
  <c r="B9" i="3"/>
  <c r="B15" i="5"/>
  <c r="B16" i="5" s="1"/>
  <c r="B18" i="1"/>
  <c r="B16" i="1"/>
  <c r="B17" i="1"/>
  <c r="D13" i="1"/>
  <c r="B14" i="1"/>
  <c r="M32" i="5"/>
  <c r="M17" i="5"/>
  <c r="M18" i="5"/>
  <c r="M19" i="5"/>
  <c r="M20" i="5"/>
  <c r="M21" i="5"/>
  <c r="M22" i="5"/>
  <c r="M23" i="5"/>
  <c r="M24" i="5"/>
  <c r="M25" i="5"/>
  <c r="M26" i="5"/>
  <c r="M27" i="5"/>
  <c r="M28" i="5"/>
  <c r="M29" i="5"/>
  <c r="M30" i="5"/>
  <c r="M31" i="5"/>
  <c r="M3" i="5"/>
  <c r="M4" i="5"/>
  <c r="M5" i="5"/>
  <c r="M6" i="5"/>
  <c r="M7" i="5"/>
  <c r="M8" i="5"/>
  <c r="M9" i="5"/>
  <c r="M10" i="5"/>
  <c r="M11" i="5"/>
  <c r="M12" i="5"/>
  <c r="M13" i="5"/>
  <c r="M14" i="5"/>
  <c r="M15" i="5"/>
  <c r="M16" i="5"/>
  <c r="M2" i="5"/>
  <c r="O2" i="5" s="1"/>
  <c r="L23" i="5"/>
  <c r="L12" i="5"/>
  <c r="K4" i="8" l="1"/>
  <c r="E29" i="8"/>
  <c r="O3" i="5"/>
  <c r="O4" i="5" s="1"/>
  <c r="O5" i="5" s="1"/>
  <c r="O6" i="5" s="1"/>
  <c r="O7" i="5" s="1"/>
  <c r="O8" i="5" s="1"/>
  <c r="O9" i="5" s="1"/>
  <c r="O10" i="5" s="1"/>
  <c r="O11" i="5" s="1"/>
  <c r="O12" i="5" s="1"/>
  <c r="O13" i="5" s="1"/>
  <c r="O14" i="5" s="1"/>
  <c r="O15" i="5" s="1"/>
  <c r="O16" i="5" s="1"/>
  <c r="O17" i="5" s="1"/>
  <c r="O18" i="5" s="1"/>
  <c r="O19" i="5" s="1"/>
  <c r="O20" i="5" s="1"/>
  <c r="O21" i="5" s="1"/>
  <c r="O22" i="5" s="1"/>
  <c r="O23" i="5" s="1"/>
  <c r="O24" i="5" s="1"/>
  <c r="O25" i="5" s="1"/>
  <c r="O26" i="5" s="1"/>
  <c r="O27" i="5" s="1"/>
  <c r="O28" i="5" s="1"/>
  <c r="O29" i="5" s="1"/>
  <c r="O30" i="5" s="1"/>
  <c r="O31" i="5" s="1"/>
  <c r="O32" i="5" s="1"/>
  <c r="W22" i="10" l="1"/>
  <c r="W17" i="10"/>
  <c r="W4" i="10"/>
  <c r="AA4" i="10" s="1"/>
  <c r="W11" i="10"/>
  <c r="AA11" i="10" s="1"/>
  <c r="W15" i="10"/>
  <c r="W18" i="10"/>
  <c r="Z18" i="10" s="1"/>
  <c r="W7" i="10"/>
  <c r="Z7" i="10" s="1"/>
  <c r="W21" i="10"/>
  <c r="X21" i="10" s="1"/>
  <c r="W20" i="10"/>
  <c r="Z20" i="10" s="1"/>
  <c r="W25" i="10"/>
  <c r="W6" i="10"/>
  <c r="Z6" i="10" s="1"/>
  <c r="W9" i="10"/>
  <c r="AA9" i="10" s="1"/>
  <c r="W13" i="10"/>
  <c r="W27" i="10"/>
  <c r="X27" i="10" s="1"/>
  <c r="W29" i="10"/>
  <c r="X29" i="10" s="1"/>
  <c r="W16" i="10"/>
  <c r="AA16" i="10" s="1"/>
  <c r="W3" i="10"/>
  <c r="W5" i="10"/>
  <c r="Z5" i="10" s="1"/>
  <c r="W10" i="10"/>
  <c r="AA10" i="10" s="1"/>
  <c r="W19" i="10"/>
  <c r="X19" i="10" s="1"/>
  <c r="W24" i="10"/>
  <c r="Z24" i="10" s="1"/>
  <c r="W23" i="10"/>
  <c r="X23" i="10" s="1"/>
  <c r="W8" i="10"/>
  <c r="X8" i="10" s="1"/>
  <c r="W14" i="10"/>
  <c r="X14" i="10" s="1"/>
  <c r="W12" i="10"/>
  <c r="AA12" i="10" s="1"/>
  <c r="W28" i="10"/>
  <c r="AA28" i="10" s="1"/>
  <c r="W26" i="10"/>
  <c r="AA26" i="10" s="1"/>
  <c r="AB17" i="10"/>
  <c r="AC20" i="10" s="1"/>
  <c r="F34" i="8"/>
  <c r="F42" i="8" s="1"/>
  <c r="V34" i="10"/>
  <c r="AA29" i="10"/>
  <c r="AA18" i="10"/>
  <c r="X18" i="10"/>
  <c r="Z28" i="10"/>
  <c r="X28" i="10"/>
  <c r="AA20" i="10"/>
  <c r="X20" i="10"/>
  <c r="AA22" i="10"/>
  <c r="X22" i="10"/>
  <c r="Z22" i="10"/>
  <c r="AA27" i="10"/>
  <c r="Z27" i="10"/>
  <c r="X25" i="10"/>
  <c r="Z25" i="10"/>
  <c r="AA25" i="10"/>
  <c r="Z23" i="10"/>
  <c r="AA6" i="10"/>
  <c r="X5" i="10"/>
  <c r="AA5" i="10"/>
  <c r="X15" i="10"/>
  <c r="Z15" i="10"/>
  <c r="AA15" i="10"/>
  <c r="AA8" i="10"/>
  <c r="X4" i="10"/>
  <c r="X12" i="10"/>
  <c r="Z12" i="10"/>
  <c r="Z10" i="10"/>
  <c r="AA13" i="10"/>
  <c r="Z13" i="10"/>
  <c r="X13" i="10"/>
  <c r="X11" i="10"/>
  <c r="Z3" i="10"/>
  <c r="AA3" i="10"/>
  <c r="X3" i="10"/>
  <c r="B12" i="5"/>
  <c r="B4" i="5"/>
  <c r="K32" i="5" s="1"/>
  <c r="B3" i="5"/>
  <c r="B2" i="5"/>
  <c r="D13" i="3"/>
  <c r="B13" i="3"/>
  <c r="D4" i="3"/>
  <c r="B6" i="3"/>
  <c r="D3" i="3" s="1"/>
  <c r="D6" i="3" s="1"/>
  <c r="X24" i="10" l="1"/>
  <c r="AA24" i="10"/>
  <c r="X10" i="10"/>
  <c r="X7" i="10"/>
  <c r="X6" i="10"/>
  <c r="Z29" i="10"/>
  <c r="Z8" i="10"/>
  <c r="X9" i="10"/>
  <c r="Z16" i="10"/>
  <c r="Z4" i="10"/>
  <c r="AA7" i="10"/>
  <c r="Z21" i="10"/>
  <c r="AA14" i="10"/>
  <c r="Z11" i="10"/>
  <c r="X16" i="10"/>
  <c r="AA23" i="10"/>
  <c r="Z9" i="10"/>
  <c r="AA21" i="10"/>
  <c r="Z14" i="10"/>
  <c r="AA19" i="10"/>
  <c r="Z26" i="10"/>
  <c r="X26" i="10"/>
  <c r="Z17" i="10"/>
  <c r="B29" i="14" s="1"/>
  <c r="B44" i="14" s="1"/>
  <c r="C5" i="4"/>
  <c r="B28" i="14" s="1"/>
  <c r="AA17" i="10"/>
  <c r="G14" i="8"/>
  <c r="F43" i="8" s="1"/>
  <c r="Z19" i="10"/>
  <c r="B9" i="4"/>
  <c r="B5" i="4"/>
  <c r="B5" i="14"/>
  <c r="N14" i="14"/>
  <c r="N7" i="14"/>
  <c r="N19" i="14"/>
  <c r="N13" i="14"/>
  <c r="N12" i="14"/>
  <c r="N6" i="14"/>
  <c r="N18" i="14"/>
  <c r="N5" i="14"/>
  <c r="N17" i="14"/>
  <c r="N11" i="14"/>
  <c r="N4" i="14"/>
  <c r="N22" i="14"/>
  <c r="N16" i="14"/>
  <c r="N10" i="14"/>
  <c r="N3" i="14"/>
  <c r="N21" i="14"/>
  <c r="N15" i="14"/>
  <c r="N9" i="14"/>
  <c r="N2" i="14"/>
  <c r="P2" i="14" s="1"/>
  <c r="N20" i="14"/>
  <c r="N8" i="14"/>
  <c r="K13" i="8"/>
  <c r="J6" i="5"/>
  <c r="J14" i="5"/>
  <c r="J22" i="5"/>
  <c r="J30" i="5"/>
  <c r="J7" i="5"/>
  <c r="J15" i="5"/>
  <c r="J23" i="5"/>
  <c r="J31" i="5"/>
  <c r="J32" i="5"/>
  <c r="J9" i="5"/>
  <c r="J2" i="5"/>
  <c r="J26" i="5"/>
  <c r="J4" i="5"/>
  <c r="J13" i="5"/>
  <c r="J28" i="5"/>
  <c r="J8" i="5"/>
  <c r="J16" i="5"/>
  <c r="J24" i="5"/>
  <c r="J17" i="5"/>
  <c r="J12" i="5"/>
  <c r="J5" i="5"/>
  <c r="J25" i="5"/>
  <c r="J10" i="5"/>
  <c r="J20" i="5"/>
  <c r="J29" i="5"/>
  <c r="J18" i="5"/>
  <c r="J3" i="5"/>
  <c r="J11" i="5"/>
  <c r="J19" i="5"/>
  <c r="J27" i="5"/>
  <c r="J21" i="5"/>
  <c r="J3" i="3"/>
  <c r="G8" i="3"/>
  <c r="B8" i="3"/>
  <c r="J3" i="1"/>
  <c r="G3" i="2"/>
  <c r="M5" i="2" s="1"/>
  <c r="C4" i="2"/>
  <c r="C5" i="2"/>
  <c r="C6" i="2"/>
  <c r="C7" i="2"/>
  <c r="C8" i="2"/>
  <c r="C9" i="2"/>
  <c r="C10" i="2"/>
  <c r="C11" i="2"/>
  <c r="C12" i="2"/>
  <c r="C13" i="2"/>
  <c r="C14" i="2"/>
  <c r="C15" i="2"/>
  <c r="C16" i="2"/>
  <c r="C17" i="2"/>
  <c r="C18" i="2"/>
  <c r="C19" i="2"/>
  <c r="C20" i="2"/>
  <c r="C21" i="2"/>
  <c r="C22" i="2"/>
  <c r="C3" i="2"/>
  <c r="B9" i="1"/>
  <c r="E9" i="1"/>
  <c r="E8" i="1"/>
  <c r="B8" i="1"/>
  <c r="E5" i="1"/>
  <c r="E2" i="1"/>
  <c r="B4" i="1"/>
  <c r="B2" i="1"/>
  <c r="N12" i="8" l="1"/>
  <c r="N13" i="8" s="1"/>
  <c r="O36" i="8"/>
  <c r="D15" i="8"/>
  <c r="B13" i="8" s="1"/>
  <c r="R12" i="8"/>
  <c r="R13" i="8" s="1"/>
  <c r="R14" i="8" s="1"/>
  <c r="K25" i="8" s="1"/>
  <c r="F45" i="8" s="1"/>
  <c r="B32" i="14"/>
  <c r="C5" i="14"/>
  <c r="Y5" i="14"/>
  <c r="Y9" i="14"/>
  <c r="Y13" i="14"/>
  <c r="Y17" i="14"/>
  <c r="Y21" i="14"/>
  <c r="Y6" i="14"/>
  <c r="Y10" i="14"/>
  <c r="Y14" i="14"/>
  <c r="Y18" i="14"/>
  <c r="Y22" i="14"/>
  <c r="Y7" i="14"/>
  <c r="Y11" i="14"/>
  <c r="Y19" i="14"/>
  <c r="Y2" i="14"/>
  <c r="Y4" i="14"/>
  <c r="Y8" i="14"/>
  <c r="Y16" i="14"/>
  <c r="Y20" i="14"/>
  <c r="Y3" i="14"/>
  <c r="Y15" i="14"/>
  <c r="Y12" i="14"/>
  <c r="B33" i="14"/>
  <c r="B12" i="14"/>
  <c r="B38" i="14" s="1"/>
  <c r="B31" i="14"/>
  <c r="B46" i="14" s="1"/>
  <c r="B43" i="14"/>
  <c r="B30" i="14"/>
  <c r="B45" i="14" s="1"/>
  <c r="P3" i="14"/>
  <c r="P4" i="14" s="1"/>
  <c r="P5" i="14" s="1"/>
  <c r="P6" i="14" s="1"/>
  <c r="P7" i="14" s="1"/>
  <c r="P8" i="14" s="1"/>
  <c r="P9" i="14" s="1"/>
  <c r="P10" i="14" s="1"/>
  <c r="P11" i="14" s="1"/>
  <c r="P12" i="14" s="1"/>
  <c r="P13" i="14" s="1"/>
  <c r="P14" i="14" s="1"/>
  <c r="P15" i="14" s="1"/>
  <c r="P16" i="14" s="1"/>
  <c r="P17" i="14" s="1"/>
  <c r="P18" i="14" s="1"/>
  <c r="P19" i="14" s="1"/>
  <c r="P20" i="14" s="1"/>
  <c r="P21" i="14" s="1"/>
  <c r="P22" i="14" s="1"/>
  <c r="B23" i="14"/>
  <c r="B25" i="14" s="1"/>
  <c r="S26" i="8"/>
  <c r="O25" i="8"/>
  <c r="F46" i="8" s="1"/>
  <c r="N14" i="8"/>
  <c r="K23" i="8" s="1"/>
  <c r="F44" i="8" s="1"/>
  <c r="G13" i="8"/>
  <c r="O35" i="8" s="1"/>
  <c r="G15" i="8"/>
  <c r="G16" i="8" s="1"/>
  <c r="O40" i="8" s="1"/>
  <c r="V40" i="8" s="1"/>
  <c r="J20" i="2"/>
  <c r="J18" i="2"/>
  <c r="J10" i="2"/>
  <c r="K22" i="2"/>
  <c r="K14" i="2"/>
  <c r="J16" i="2"/>
  <c r="K12" i="2"/>
  <c r="M20" i="2"/>
  <c r="M4" i="2"/>
  <c r="H3" i="2"/>
  <c r="J15" i="2"/>
  <c r="J7" i="2"/>
  <c r="K19" i="2"/>
  <c r="K11" i="2"/>
  <c r="L3" i="2"/>
  <c r="L15" i="2"/>
  <c r="L7" i="2"/>
  <c r="M19" i="2"/>
  <c r="M11" i="2"/>
  <c r="J8" i="2"/>
  <c r="K20" i="2"/>
  <c r="K4" i="2"/>
  <c r="L8" i="2"/>
  <c r="M12" i="2"/>
  <c r="M7" i="3" s="1"/>
  <c r="J22" i="2"/>
  <c r="J14" i="2"/>
  <c r="J6" i="2"/>
  <c r="K18" i="2"/>
  <c r="K10" i="2"/>
  <c r="L22" i="2"/>
  <c r="L14" i="2"/>
  <c r="L6" i="2"/>
  <c r="M18" i="2"/>
  <c r="M10" i="2"/>
  <c r="L16" i="2"/>
  <c r="J21" i="2"/>
  <c r="J13" i="2"/>
  <c r="J5" i="2"/>
  <c r="K17" i="2"/>
  <c r="K9" i="2"/>
  <c r="L21" i="2"/>
  <c r="L13" i="2"/>
  <c r="L5" i="2"/>
  <c r="M17" i="2"/>
  <c r="M4" i="3" s="1"/>
  <c r="M9" i="2"/>
  <c r="K16" i="2"/>
  <c r="L12" i="2"/>
  <c r="M8" i="2"/>
  <c r="J12" i="2"/>
  <c r="K8" i="2"/>
  <c r="L20" i="2"/>
  <c r="L4" i="2"/>
  <c r="M16" i="2"/>
  <c r="J19" i="2"/>
  <c r="J11" i="2"/>
  <c r="K3" i="2"/>
  <c r="K15" i="2"/>
  <c r="K7" i="2"/>
  <c r="L19" i="2"/>
  <c r="L11" i="2"/>
  <c r="M3" i="2"/>
  <c r="M15" i="2"/>
  <c r="M6" i="3" s="1"/>
  <c r="M7" i="2"/>
  <c r="K6" i="2"/>
  <c r="L10" i="2"/>
  <c r="M22" i="2"/>
  <c r="M6" i="2"/>
  <c r="L18" i="2"/>
  <c r="M14" i="2"/>
  <c r="M5" i="3" s="1"/>
  <c r="J17" i="2"/>
  <c r="J9" i="2"/>
  <c r="K21" i="2"/>
  <c r="K13" i="2"/>
  <c r="K5" i="2"/>
  <c r="L17" i="2"/>
  <c r="L9" i="2"/>
  <c r="M21" i="2"/>
  <c r="M13" i="2"/>
  <c r="K22" i="14" l="1"/>
  <c r="M12" i="14"/>
  <c r="K6" i="14"/>
  <c r="K15" i="14"/>
  <c r="K7" i="14"/>
  <c r="K14" i="14"/>
  <c r="K13" i="14"/>
  <c r="K8" i="14"/>
  <c r="K2" i="14"/>
  <c r="K20" i="14"/>
  <c r="K4" i="14"/>
  <c r="K17" i="14"/>
  <c r="K16" i="14"/>
  <c r="K12" i="14"/>
  <c r="K5" i="14"/>
  <c r="K9" i="14"/>
  <c r="K18" i="14"/>
  <c r="K11" i="14"/>
  <c r="K10" i="14"/>
  <c r="K21" i="14"/>
  <c r="K19" i="14"/>
  <c r="K3" i="14"/>
  <c r="B47" i="14"/>
  <c r="I2" i="14"/>
  <c r="B20" i="14"/>
  <c r="J2" i="14" s="1"/>
  <c r="L22" i="14"/>
  <c r="L26" i="14" s="1"/>
  <c r="V42" i="8"/>
  <c r="B42" i="14"/>
  <c r="Z2" i="14"/>
  <c r="M26" i="14"/>
  <c r="O38" i="8"/>
  <c r="I6" i="14"/>
  <c r="I13" i="14"/>
  <c r="I21" i="14"/>
  <c r="I8" i="14"/>
  <c r="I15" i="14"/>
  <c r="I12" i="14"/>
  <c r="I5" i="14"/>
  <c r="I22" i="14"/>
  <c r="I4" i="14"/>
  <c r="I14" i="14"/>
  <c r="I19" i="14"/>
  <c r="I7" i="14"/>
  <c r="I16" i="14"/>
  <c r="I20" i="14"/>
  <c r="I18" i="14"/>
  <c r="I3" i="14"/>
  <c r="I17" i="14"/>
  <c r="I9" i="14"/>
  <c r="I11" i="14"/>
  <c r="I10" i="14"/>
  <c r="O37" i="8"/>
  <c r="D13" i="8"/>
  <c r="B17" i="8" s="1"/>
  <c r="P3" i="2"/>
  <c r="S4" i="2"/>
  <c r="S12" i="2"/>
  <c r="N7" i="3" s="1"/>
  <c r="S7" i="3" s="1"/>
  <c r="G9" i="3" s="1"/>
  <c r="G6" i="3" s="1"/>
  <c r="S21" i="2"/>
  <c r="R9" i="2"/>
  <c r="R17" i="2"/>
  <c r="Q5" i="2"/>
  <c r="Q13" i="2"/>
  <c r="Q21" i="2"/>
  <c r="P9" i="2"/>
  <c r="P17" i="2"/>
  <c r="Q22" i="2"/>
  <c r="S5" i="2"/>
  <c r="S13" i="2"/>
  <c r="S22" i="2"/>
  <c r="R10" i="2"/>
  <c r="R18" i="2"/>
  <c r="Q6" i="2"/>
  <c r="Q14" i="2"/>
  <c r="P10" i="2"/>
  <c r="P18" i="2"/>
  <c r="S6" i="2"/>
  <c r="S14" i="2"/>
  <c r="N5" i="3" s="1"/>
  <c r="S5" i="3" s="1"/>
  <c r="S3" i="2"/>
  <c r="R11" i="2"/>
  <c r="R19" i="2"/>
  <c r="Q7" i="2"/>
  <c r="Q15" i="2"/>
  <c r="Q3" i="2"/>
  <c r="P11" i="2"/>
  <c r="P19" i="2"/>
  <c r="S15" i="2"/>
  <c r="N6" i="3" s="1"/>
  <c r="Q16" i="2"/>
  <c r="P12" i="2"/>
  <c r="P20" i="2"/>
  <c r="S7" i="2"/>
  <c r="R4" i="2"/>
  <c r="R12" i="2"/>
  <c r="R20" i="2"/>
  <c r="Q8" i="2"/>
  <c r="P4" i="2"/>
  <c r="S8" i="2"/>
  <c r="S17" i="2"/>
  <c r="N4" i="3" s="1"/>
  <c r="S4" i="3" s="1"/>
  <c r="R5" i="2"/>
  <c r="R13" i="2"/>
  <c r="R21" i="2"/>
  <c r="Q9" i="2"/>
  <c r="Q17" i="2"/>
  <c r="P5" i="2"/>
  <c r="P13" i="2"/>
  <c r="P21" i="2"/>
  <c r="Q4" i="2"/>
  <c r="S9" i="2"/>
  <c r="S18" i="2"/>
  <c r="R6" i="2"/>
  <c r="R14" i="2"/>
  <c r="R22" i="2"/>
  <c r="Q10" i="2"/>
  <c r="Q18" i="2"/>
  <c r="P6" i="2"/>
  <c r="P14" i="2"/>
  <c r="P22" i="2"/>
  <c r="S16" i="2"/>
  <c r="N3" i="3" s="1"/>
  <c r="S20" i="2"/>
  <c r="R16" i="2"/>
  <c r="Q20" i="2"/>
  <c r="P16" i="2"/>
  <c r="S10" i="2"/>
  <c r="S19" i="2"/>
  <c r="R7" i="2"/>
  <c r="R15" i="2"/>
  <c r="R3" i="2"/>
  <c r="Q11" i="2"/>
  <c r="Q19" i="2"/>
  <c r="P7" i="2"/>
  <c r="P15" i="2"/>
  <c r="S11" i="2"/>
  <c r="R8" i="2"/>
  <c r="Q12" i="2"/>
  <c r="P8" i="2"/>
  <c r="R2" i="14" l="1"/>
  <c r="B41" i="14"/>
  <c r="J3" i="14"/>
  <c r="R3" i="14" s="1"/>
  <c r="J7" i="14"/>
  <c r="R7" i="14" s="1"/>
  <c r="J11" i="14"/>
  <c r="R11" i="14" s="1"/>
  <c r="J15" i="14"/>
  <c r="J19" i="14"/>
  <c r="R19" i="14" s="1"/>
  <c r="J4" i="14"/>
  <c r="R4" i="14" s="1"/>
  <c r="J8" i="14"/>
  <c r="R8" i="14" s="1"/>
  <c r="J12" i="14"/>
  <c r="R12" i="14" s="1"/>
  <c r="J16" i="14"/>
  <c r="R16" i="14" s="1"/>
  <c r="J20" i="14"/>
  <c r="R20" i="14" s="1"/>
  <c r="J9" i="14"/>
  <c r="R9" i="14" s="1"/>
  <c r="J13" i="14"/>
  <c r="R13" i="14" s="1"/>
  <c r="J17" i="14"/>
  <c r="R17" i="14" s="1"/>
  <c r="J6" i="14"/>
  <c r="R6" i="14" s="1"/>
  <c r="J10" i="14"/>
  <c r="R10" i="14" s="1"/>
  <c r="J18" i="14"/>
  <c r="R18" i="14" s="1"/>
  <c r="J22" i="14"/>
  <c r="R22" i="14" s="1"/>
  <c r="J5" i="14"/>
  <c r="R5" i="14" s="1"/>
  <c r="J21" i="14"/>
  <c r="R21" i="14" s="1"/>
  <c r="J14" i="14"/>
  <c r="R14" i="14" s="1"/>
  <c r="K26" i="14"/>
  <c r="B39" i="14"/>
  <c r="B19" i="14"/>
  <c r="R15" i="14"/>
  <c r="I26" i="14"/>
  <c r="B15" i="8"/>
  <c r="O23" i="8"/>
  <c r="J4" i="1"/>
  <c r="G13" i="1" s="1"/>
  <c r="I4" i="3"/>
  <c r="B8" i="5" s="1"/>
  <c r="I3" i="3"/>
  <c r="B7" i="5" s="1"/>
  <c r="S2" i="14" l="1"/>
  <c r="S30" i="14" s="1"/>
  <c r="W12" i="14"/>
  <c r="J26" i="14"/>
  <c r="W2" i="14"/>
  <c r="W5" i="14"/>
  <c r="W6" i="14"/>
  <c r="W3" i="14"/>
  <c r="W4" i="14"/>
  <c r="W19" i="14"/>
  <c r="W10" i="14"/>
  <c r="W16" i="14"/>
  <c r="W14" i="14"/>
  <c r="W18" i="14"/>
  <c r="W22" i="14"/>
  <c r="W13" i="14"/>
  <c r="W17" i="14"/>
  <c r="W20" i="14"/>
  <c r="W8" i="14"/>
  <c r="W11" i="14"/>
  <c r="W7" i="14"/>
  <c r="W15" i="14"/>
  <c r="W21" i="14"/>
  <c r="W9" i="14"/>
  <c r="O28" i="8"/>
  <c r="B15" i="14"/>
  <c r="G2" i="14" s="1"/>
  <c r="B16" i="8"/>
  <c r="O29" i="8" s="1"/>
  <c r="I6" i="3"/>
  <c r="M21" i="3" s="1"/>
  <c r="G17" i="1"/>
  <c r="G14" i="1"/>
  <c r="N26" i="14" l="1"/>
  <c r="T2" i="14"/>
  <c r="V2" i="14"/>
  <c r="O2" i="14"/>
  <c r="X2" i="14"/>
  <c r="B37" i="14"/>
  <c r="I18" i="3"/>
  <c r="K18" i="3"/>
  <c r="M20" i="3"/>
  <c r="B20" i="5"/>
  <c r="G15" i="1"/>
  <c r="B19" i="5" s="1"/>
  <c r="G2" i="5" s="1"/>
  <c r="U2" i="14" l="1"/>
  <c r="D4" i="14" s="1"/>
  <c r="T30" i="14"/>
  <c r="U30" i="14" s="1"/>
  <c r="AB2" i="14"/>
  <c r="F4" i="14" s="1"/>
  <c r="AA2" i="14"/>
  <c r="E4" i="14" s="1"/>
  <c r="O3" i="14"/>
  <c r="I12" i="5"/>
  <c r="I13" i="5"/>
  <c r="I14" i="5"/>
  <c r="I32" i="5"/>
  <c r="I27" i="5"/>
  <c r="I7" i="5"/>
  <c r="I31" i="5"/>
  <c r="I10" i="5"/>
  <c r="I21" i="5"/>
  <c r="I20" i="5"/>
  <c r="I17" i="5"/>
  <c r="I30" i="5"/>
  <c r="I26" i="5"/>
  <c r="I22" i="5"/>
  <c r="I18" i="5"/>
  <c r="I28" i="5"/>
  <c r="I3" i="5"/>
  <c r="I5" i="5"/>
  <c r="I8" i="5"/>
  <c r="I23" i="5"/>
  <c r="I6" i="5"/>
  <c r="I29" i="5"/>
  <c r="I2" i="5"/>
  <c r="N2" i="5" s="1"/>
  <c r="I19" i="5"/>
  <c r="I25" i="5"/>
  <c r="I16" i="5"/>
  <c r="I11" i="5"/>
  <c r="I24" i="5"/>
  <c r="I15" i="5"/>
  <c r="I9" i="5"/>
  <c r="I4" i="5"/>
  <c r="O4" i="14" l="1"/>
  <c r="P2" i="5"/>
  <c r="N3" i="5"/>
  <c r="O5" i="14" l="1"/>
  <c r="N4" i="5"/>
  <c r="P3" i="5"/>
  <c r="O6" i="14" l="1"/>
  <c r="N5" i="5"/>
  <c r="P4" i="5"/>
  <c r="O7" i="14" l="1"/>
  <c r="P5" i="5"/>
  <c r="N6" i="5"/>
  <c r="O8" i="14" l="1"/>
  <c r="N7" i="5"/>
  <c r="P6" i="5"/>
  <c r="O9" i="14" l="1"/>
  <c r="P7" i="5"/>
  <c r="N8" i="5"/>
  <c r="O10" i="14" l="1"/>
  <c r="P8" i="5"/>
  <c r="N9" i="5"/>
  <c r="O11" i="14" l="1"/>
  <c r="N10" i="5"/>
  <c r="P9" i="5"/>
  <c r="O12" i="14" l="1"/>
  <c r="N11" i="5"/>
  <c r="P10" i="5"/>
  <c r="O13" i="14" l="1"/>
  <c r="N12" i="5"/>
  <c r="P11" i="5"/>
  <c r="O14" i="14" l="1"/>
  <c r="P12" i="5"/>
  <c r="N13" i="5"/>
  <c r="O15" i="14" l="1"/>
  <c r="N14" i="5"/>
  <c r="P13" i="5"/>
  <c r="O16" i="14" l="1"/>
  <c r="P14" i="5"/>
  <c r="N15" i="5"/>
  <c r="O17" i="14" l="1"/>
  <c r="N16" i="5"/>
  <c r="P15" i="5"/>
  <c r="O18" i="14" l="1"/>
  <c r="N17" i="5"/>
  <c r="P16" i="5"/>
  <c r="O19" i="14" l="1"/>
  <c r="N18" i="5"/>
  <c r="P17" i="5"/>
  <c r="O20" i="14" l="1"/>
  <c r="N19" i="5"/>
  <c r="P18" i="5"/>
  <c r="O21" i="14" l="1"/>
  <c r="N20" i="5"/>
  <c r="P19" i="5"/>
  <c r="O22" i="14" l="1"/>
  <c r="N21" i="5"/>
  <c r="P20" i="5"/>
  <c r="N22" i="5" l="1"/>
  <c r="P21" i="5"/>
  <c r="N23" i="5" l="1"/>
  <c r="P22" i="5"/>
  <c r="N24" i="5" l="1"/>
  <c r="P23" i="5"/>
  <c r="N25" i="5" l="1"/>
  <c r="P24" i="5"/>
  <c r="N26" i="5" l="1"/>
  <c r="P25" i="5"/>
  <c r="N27" i="5" l="1"/>
  <c r="P26" i="5"/>
  <c r="N28" i="5" l="1"/>
  <c r="P27" i="5"/>
  <c r="N29" i="5" l="1"/>
  <c r="P28" i="5"/>
  <c r="N30" i="5" l="1"/>
  <c r="P29" i="5"/>
  <c r="P30" i="5" l="1"/>
  <c r="N31" i="5"/>
  <c r="N32" i="5" l="1"/>
  <c r="P32" i="5" s="1"/>
  <c r="P31"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tc={CFCC1B52-8C5A-46E9-A887-F89F176FEA95}</author>
    <author>tc={83067067-8463-4E14-8F4C-C8F5216F82B8}</author>
    <author>tc={9CE61457-26E0-4757-ABF5-B2B11FDAAC41}</author>
    <author>tc={D77073EC-B8E0-4996-8EE6-E39991764EFE}</author>
    <author>tc={9D75F31F-001D-41CA-A43D-97F1473C6CBD}</author>
    <author>tc={E335DAC7-8151-4874-8114-766B5AE7D8A0}</author>
    <author>tc={72EC8341-3A1E-4ACA-8C06-A6CD7496E249}</author>
    <author>tc={C3538C9D-28DC-4410-B178-CF287E19581B}</author>
    <author>tc={4A36FF9D-7933-4B28-9C1C-72ACC495E285}</author>
    <author>tc={799441DF-FA64-495D-B520-E5BD3CE7E531}</author>
    <author>tc={C54CA117-21D1-40CA-966E-392188259F32}</author>
    <author>tc={C2384AD4-F81A-4703-B995-E4509D87FE56}</author>
    <author>tc={5A98D32D-3A22-4DDA-B153-2401BF4C3A21}</author>
    <author>tc={56F44DB0-88BF-4C7C-8375-01420ABA8595}</author>
    <author>tc={455A4DBA-A1AE-408A-9B1F-AD47FC8DE347}</author>
    <author>tc={3E51B244-2244-4AB9-B54E-3921B66D315F}</author>
    <author>tc={7536915C-7F65-491E-B9FE-A382834A0095}</author>
    <author>tc={6FDF6608-B8E3-4B8A-A2B5-379683E0C029}</author>
    <author>tc={320CF667-1617-4315-BF1D-A4C2034C090B}</author>
    <author>tc={603F89E2-D41F-47B2-8901-FD129DA3DC5F}</author>
    <author>tc={984CE5AB-2771-46A0-A505-8434EBC9020E}</author>
    <author>tc={BFF34AEB-C17D-44A8-9554-C3F48163B1CC}</author>
    <author>tc={814338B7-EB15-4EFF-86E5-8103223B430D}</author>
  </authors>
  <commentList>
    <comment ref="H2" authorId="0" shapeId="0" xr:uid="{CFCC1B52-8C5A-46E9-A887-F89F176FEA95}">
      <text>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Report: On the economics of a hydrogen bus fleet powered
by a wind park e A case study for Austria pag 5 table 1
Mi da in tabella un periodo di monitoraggio di 10 anni, con il relativo consumo totale di idrogeno, assumo consumo costante ogni anno quindi ottengo dividendo la distanza totale trascorsa (45000 km) per 10 anni, il valore 4500 [km/y]
</t>
      </text>
    </comment>
    <comment ref="B3" authorId="1" shapeId="0" xr:uid="{83067067-8463-4E14-8F4C-C8F5216F82B8}">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https://www.quattroruote.it/news/curiosita/2016/02/24/italiani_alla_guida_in_media_percorrono_11_200_km_all_anno_.html
Rispondi:
FONTE 2: https://www.dalcarnoleggio.it/kmannui/#:~:text=I%20risultati%20si%20differenziano%20leggermente,notevolmente%20da%20regione%20a%20regione.</t>
      </text>
    </comment>
    <comment ref="D3" authorId="2" shapeId="0" xr:uid="{9CE61457-26E0-4757-ABF5-B2B11FDAAC41}">
      <text>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https://www.toyota.it/electrified/fuel-cell/che-autonomia-hanno-le-auto-a-idrogeno
</t>
      </text>
    </comment>
    <comment ref="H3" authorId="3" shapeId="0" xr:uid="{D77073EC-B8E0-4996-8EE6-E39991764EFE}">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Report: On the economics of a hydrogen bus fleet powered
by a wind park e A case study for Austria pag 5</t>
      </text>
    </comment>
    <comment ref="G4" authorId="4" shapeId="0" xr:uid="{9D75F31F-001D-41CA-A43D-97F1473C6CBD}">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In the scientific report, it's written that i need 9kg_H2/100km, so i made the calculation to find how many km i can do with 1 kg_H2</t>
      </text>
    </comment>
    <comment ref="B5" authorId="5" shapeId="0" xr:uid="{E335DAC7-8151-4874-8114-766B5AE7D8A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https://www.alvolante.it/news/toyota-mirai-record-1003-km-un-pieno-idrogeno-373646</t>
      </text>
    </comment>
    <comment ref="H5" authorId="6" shapeId="0" xr:uid="{72EC8341-3A1E-4ACA-8C06-A6CD7496E249}">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multipling [km/kg_H2]*FULL BUS TANK CAPACITY [kg_H2], i can obtain how many km i can do with full tank capacity</t>
      </text>
    </comment>
    <comment ref="B6" authorId="7" shapeId="0" xr:uid="{C3538C9D-28DC-4410-B178-CF287E19581B}">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Pag 61: https://www.isolesostenibili.it/wp-content/uploads/2022/03/ENG-Libro-ISOLE21-1.pdf</t>
      </text>
    </comment>
    <comment ref="E6" authorId="8" shapeId="0" xr:uid="{4A36FF9D-7933-4B28-9C1C-72ACC495E285}">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Da report isole sostenibili ottengo questi valori facendo la proporzione sul totale dei veicoli presenti</t>
      </text>
    </comment>
    <comment ref="A7" authorId="9" shapeId="0" xr:uid="{799441DF-FA64-495D-B520-E5BD3CE7E531}">
      <text>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https://www.toyota.it/electrified/fuel-cell/che-autonomia-hanno-le-auto-a-idrogeno
</t>
      </text>
    </comment>
    <comment ref="Q7" authorId="10" shapeId="0" xr:uid="{C54CA117-21D1-40CA-966E-392188259F32}">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Deve essere in mass fraction</t>
      </text>
    </comment>
    <comment ref="B9" authorId="11" shapeId="0" xr:uid="{C2384AD4-F81A-4703-B995-E4509D87FE56}">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total amount of hydrogen that i need for all amount of vehicles in the island [kg_H2/year]</t>
      </text>
    </comment>
    <comment ref="J11" authorId="12" shapeId="0" xr:uid="{5A98D32D-3A22-4DDA-B153-2401BF4C3A21}">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Reference:
https://www.energy.gov/eere/fuelcells/doe-technical-targets-hydrogen-delivery</t>
      </text>
    </comment>
    <comment ref="A12" authorId="13" shapeId="0" xr:uid="{56F44DB0-88BF-4C7C-8375-01420ABA8595}">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Reference: https://www.methanol.org/methanol-price-supply-demand/</t>
      </text>
    </comment>
    <comment ref="B12" authorId="14" shapeId="0" xr:uid="{455A4DBA-A1AE-408A-9B1F-AD47FC8DE347}">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Controlla di nuovo se è biomethanol o e-methanol</t>
      </text>
    </comment>
    <comment ref="F12" authorId="15" shapeId="0" xr:uid="{3E51B244-2244-4AB9-B54E-3921B66D315F}">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Reference: 
https://www.energy.gov/eere/fuelcells/doe-technical-targets-hydrogen-delivery</t>
      </text>
    </comment>
    <comment ref="A14" authorId="16" shapeId="0" xr:uid="{7536915C-7F65-491E-B9FE-A382834A0095}">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Reference:
https://www.indiamart.com/proddetail/methanol-storage-tank-25303131688.html</t>
      </text>
    </comment>
    <comment ref="F14" authorId="17" shapeId="0" xr:uid="{6FDF6608-B8E3-4B8A-A2B5-379683E0C029}">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L'idrogeno che produco si riferisce al punto della mia curva di polarizzazione: considero l'idrogeno all'anno che produco in quelle condizioni di corrente e tensione e lo moltiplico per il numero di elettrolizzatori che mi serve per raggiungere il mio output, siccome devo avere un numero intero di elettrolizzatori, arrotondo per eccesso il valore e quindi produrrò leggermente di più di quanto mi viene richiesto ogni anno</t>
      </text>
    </comment>
    <comment ref="B15" authorId="18" shapeId="0" xr:uid="{320CF667-1617-4315-BF1D-A4C2034C090B}">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tank that i need to store methanol for one month</t>
      </text>
    </comment>
    <comment ref="C15" authorId="19" shapeId="0" xr:uid="{603F89E2-D41F-47B2-8901-FD129DA3DC5F}">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From the reaction I calculate the stoichiometric quantity of methanol I need to produce my final hydrogen output</t>
      </text>
    </comment>
    <comment ref="B16" authorId="20" shapeId="0" xr:uid="{984CE5AB-2771-46A0-A505-8434EBC9020E}">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Litri totali di metanolo che posso conservare</t>
      </text>
    </comment>
    <comment ref="B18" authorId="21" shapeId="0" xr:uid="{BFF34AEB-C17D-44A8-9554-C3F48163B1CC}">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After 30 days i have to refill the tank
Rispondi:
30 giorni assunti da me</t>
      </text>
    </comment>
    <comment ref="R22" authorId="22" shapeId="0" xr:uid="{814338B7-EB15-4EFF-86E5-8103223B430D}">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Reference:
https://www.energy.gov/eere/fuelcells/doe-technical-targets-hydrogen-delivery</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tc={ED021ED6-8CA6-42D7-8FF0-E9CEC556FD5B}</author>
    <author>tc={F4863492-4AB8-475D-8080-25E9BCED8F88}</author>
    <author>tc={51134240-0EB6-4DE6-8172-864B8E1295BE}</author>
    <author>tc={BBAD98B2-00C4-4515-9B53-3635DC51A2D3}</author>
    <author>tc={784EFB24-50DD-4F7E-9A9B-85D19A07998E}</author>
    <author>tc={A5FFDFE9-EE47-4DF5-A771-011732995AD4}</author>
    <author>tc={BE52322A-A332-4EA3-AC01-8537B2FB83A7}</author>
  </authors>
  <commentList>
    <comment ref="D2" authorId="0" shapeId="0" xr:uid="{ED021ED6-8CA6-42D7-8FF0-E9CEC556FD5B}">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Calculated at 70°C
Rispondi:
REFERENCE: PAG 19
Production of Clean Hydrogen by Electrochemical Reforming of Oxygenated Organic Compounds</t>
      </text>
    </comment>
    <comment ref="E2" authorId="1" shapeId="0" xr:uid="{F4863492-4AB8-475D-8080-25E9BCED8F88}">
      <text>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Ricalcola alla corretta temperatura quando aggiorni con la nuova curva di polarizzazione
</t>
      </text>
    </comment>
    <comment ref="F2" authorId="2" shapeId="0" xr:uid="{51134240-0EB6-4DE6-8172-864B8E1295BE}">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Pag 19 del report: production of clean hydrogen by electroreforming of oxyg. Org compounds
Rispondi:
Calculated at 70°C</t>
      </text>
    </comment>
    <comment ref="G2" authorId="3" shapeId="0" xr:uid="{BBAD98B2-00C4-4515-9B53-3635DC51A2D3}">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Report: pag 8 (salvato sul pc come: 
faradaic eff)
 Faradaic Efficiencies for Methanol Oxidation in Proton-Exchange Membrane Electrolysis and Fuel Cells with Various Anode Catalysts 
Rispondi:
PAG 8, TABLE 1</t>
      </text>
    </comment>
    <comment ref="I3" authorId="4" shapeId="0" xr:uid="{784EFB24-50DD-4F7E-9A9B-85D19A07998E}">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Assuming CF=100%</t>
      </text>
    </comment>
    <comment ref="K3" authorId="5" shapeId="0" xr:uid="{A5FFDFE9-EE47-4DF5-A771-011732995AD4}">
      <text>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REFERENCE: https://www.sciencedirect.com/science/article/pii/S136403211731242X#f0055 </t>
      </text>
    </comment>
    <comment ref="H4" authorId="6" shapeId="0" xr:uid="{BE52322A-A332-4EA3-AC01-8537B2FB83A7}">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Reference:
https://www.sciencedirect.com/science/article/pii/S136403211731242X#f0055 
Rispondi:
Isn't the data for the number of the cell, but starting from the data available in the document, is possible to make an extimation.</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tc={F67BED40-2A1A-4587-836E-54FEC9A578F3}</author>
  </authors>
  <commentList>
    <comment ref="B3" authorId="0" shapeId="0" xr:uid="{F67BED40-2A1A-4587-836E-54FEC9A578F3}">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You can find the formula in the supporting information word document</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tc={B884036D-B9E7-41BC-9209-D3BB05391B01}</author>
    <author>tc={D5CFFBE9-E629-43F2-AD5D-6E4C282E0D97}</author>
    <author>tc={782747D0-A971-40AB-B1B5-84EE2E744166}</author>
    <author>tc={89B30177-15A9-42E5-866D-CCA1AE76C8CF}</author>
    <author>tc={11634258-43CF-4D61-B703-66884D2416D0}</author>
    <author>tc={06EBA73B-6610-4683-8A89-D7A7D7EDD1DC}</author>
    <author>tc={0C6EC151-FB6C-4BA4-90A1-4F0F1AD01A35}</author>
  </authors>
  <commentList>
    <comment ref="AB1" authorId="0" shapeId="0" xr:uid="{B884036D-B9E7-41BC-9209-D3BB05391B01}">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Numeratore uguale alla formula della reference, cioè con decommisioning e substitution come opex attualizzati, denominatore non attualizzando l'idrogeno prodotto</t>
      </text>
    </comment>
    <comment ref="H2" authorId="1" shapeId="0" xr:uid="{D5CFFBE9-E629-43F2-AD5D-6E4C282E0D97}">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Proporre di fare in 20 anni tanto non cambia</t>
      </text>
    </comment>
    <comment ref="U2" authorId="2" shapeId="0" xr:uid="{782747D0-A971-40AB-B1B5-84EE2E744166}">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Considero nel capex anche decommisioning e substitution, denominatore non attualizzato</t>
      </text>
    </comment>
    <comment ref="AA2" authorId="3" shapeId="0" xr:uid="{89B30177-15A9-42E5-866D-CCA1AE76C8CF}">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Formula identica a come fatto nella reference</t>
      </text>
    </comment>
    <comment ref="A24" authorId="4" shapeId="0" xr:uid="{11634258-43CF-4D61-B703-66884D2416D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Media fatta da due report
Rispondi:
-IEA: https://www.iea.org/commentaries/is-carbon-capture-too-expensive
-A multi-scale framework for CO2capture, utilization, andsequestration: CCUS and CCU</t>
      </text>
    </comment>
    <comment ref="A30" authorId="5" shapeId="0" xr:uid="{06EBA73B-6610-4683-8A89-D7A7D7EDD1DC}">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Va aggiunto ogni anno di decommisioning o solo alla fine</t>
      </text>
    </comment>
    <comment ref="A31" authorId="6" shapeId="0" xr:uid="{0C6EC151-FB6C-4BA4-90A1-4F0F1AD01A35}">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Parla di questo</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tc={72B765DB-51C6-4551-B1C7-395EE2A143C7}</author>
    <author>tc={92BD4676-982B-416E-9795-BBD02329E6F0}</author>
    <author>tc={70189F43-53DB-4788-A489-D44DE30692A0}</author>
    <author>tc={73DE8E65-0A51-417D-B517-CC331F67E6E4}</author>
    <author>tc={0A2A473C-BD14-45D0-B28B-8D4D1063B408}</author>
    <author>tc={9546F218-974F-4D78-B3FD-0C621AB79274}</author>
    <author>tc={2030B6B5-F89F-4D70-9CE7-F26EBD7CA5DE}</author>
  </authors>
  <commentList>
    <comment ref="AG1" authorId="0" shapeId="0" xr:uid="{72B765DB-51C6-4551-B1C7-395EE2A143C7}">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Numeratore uguale alla formula della reference, cioè con decommisioning e substitution come opex attualizzati, denominatore non attualizzando l'idrogeno prodotto</t>
      </text>
    </comment>
    <comment ref="H2" authorId="1" shapeId="0" xr:uid="{92BD4676-982B-416E-9795-BBD02329E6F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Proporre di fare in 20 anni tanto non cambia</t>
      </text>
    </comment>
    <comment ref="Z2" authorId="2" shapeId="0" xr:uid="{70189F43-53DB-4788-A489-D44DE30692A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Considero nel capex anche decommisioning e substitution, denominatore non attualizzato</t>
      </text>
    </comment>
    <comment ref="AF2" authorId="3" shapeId="0" xr:uid="{73DE8E65-0A51-417D-B517-CC331F67E6E4}">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Formula identica a come fatto nella reference</t>
      </text>
    </comment>
    <comment ref="A24" authorId="4" shapeId="0" xr:uid="{0A2A473C-BD14-45D0-B28B-8D4D1063B408}">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Media fatta da due report
Rispondi:
-IEA: https://www.iea.org/commentaries/is-carbon-capture-too-expensive
-A multi-scale framework for CO2capture, utilization, andsequestration: CCUS and CCU</t>
      </text>
    </comment>
    <comment ref="A30" authorId="5" shapeId="0" xr:uid="{9546F218-974F-4D78-B3FD-0C621AB79274}">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Va aggiunto ogni anno di decommisioning o solo alla fine</t>
      </text>
    </comment>
    <comment ref="A31" authorId="6" shapeId="0" xr:uid="{2030B6B5-F89F-4D70-9CE7-F26EBD7CA5DE}">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Parla di questo</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tc={1E501E19-9C52-4E8F-8AA2-F1E83CF02FB8}</author>
    <author>tc={6E11A27B-FB95-4A38-9B46-E701134D88B8}</author>
    <author>tc={B6C54232-2504-42E7-8F7E-8A85A645F679}</author>
    <author>tc={CDCE1ED1-90E8-4B97-A6EE-C57C8CD128F4}</author>
    <author>tc={EB91DFF1-2605-4B76-88E7-34A8DFA6B2FC}</author>
    <author>tc={47694766-028E-41D5-A2DE-AAA43560D5C7}</author>
    <author>tc={FC1CD2F8-786A-4FE5-BE35-E0608CB25F36}</author>
  </authors>
  <commentList>
    <comment ref="AG1" authorId="0" shapeId="0" xr:uid="{1E501E19-9C52-4E8F-8AA2-F1E83CF02FB8}">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Numeratore uguale alla formula della reference, cioè con decommisioning e substitution come opex attualizzati, denominatore non attualizzando l'idrogeno prodotto</t>
      </text>
    </comment>
    <comment ref="H2" authorId="1" shapeId="0" xr:uid="{6E11A27B-FB95-4A38-9B46-E701134D88B8}">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Proporre di fare in 20 anni tanto non cambia</t>
      </text>
    </comment>
    <comment ref="Z2" authorId="2" shapeId="0" xr:uid="{B6C54232-2504-42E7-8F7E-8A85A645F679}">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Considero nel capex anche decommisioning e substitution, denominatore non attualizzato</t>
      </text>
    </comment>
    <comment ref="AF2" authorId="3" shapeId="0" xr:uid="{CDCE1ED1-90E8-4B97-A6EE-C57C8CD128F4}">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Formula identica a come fatto nella reference</t>
      </text>
    </comment>
    <comment ref="A24" authorId="4" shapeId="0" xr:uid="{EB91DFF1-2605-4B76-88E7-34A8DFA6B2FC}">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Media fatta da due report
Rispondi:
-IEA: https://www.iea.org/commentaries/is-carbon-capture-too-expensive
-A multi-scale framework for CO2capture, utilization, andsequestration: CCUS and CCU</t>
      </text>
    </comment>
    <comment ref="A30" authorId="5" shapeId="0" xr:uid="{47694766-028E-41D5-A2DE-AAA43560D5C7}">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Va aggiunto ogni anno di decommisioning o solo alla fine</t>
      </text>
    </comment>
    <comment ref="A31" authorId="6" shapeId="0" xr:uid="{FC1CD2F8-786A-4FE5-BE35-E0608CB25F36}">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Parla di questo</t>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tc={B624B8A0-0605-46F7-A102-2392E3CB8A48}</author>
    <author>tc={9CFE639B-6043-4396-A3E4-44570B0F93D4}</author>
    <author>tc={F764BE51-C11A-4F84-8DD0-90D54553D782}</author>
    <author>tc={930F0430-1BE8-48E3-8299-349BEB49315D}</author>
    <author>tc={C5EAACB2-B59D-4117-9790-06B63E53C909}</author>
    <author>tc={987FAA1D-A902-4C9C-A5EA-C064BA3A2E88}</author>
    <author>tc={ED102CED-478D-4212-AA49-55221E408E6C}</author>
  </authors>
  <commentList>
    <comment ref="AG1" authorId="0" shapeId="0" xr:uid="{B624B8A0-0605-46F7-A102-2392E3CB8A48}">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Numeratore uguale alla formula della reference, cioè con decommisioning e substitution come opex attualizzati, denominatore non attualizzando l'idrogeno prodotto</t>
      </text>
    </comment>
    <comment ref="H2" authorId="1" shapeId="0" xr:uid="{9CFE639B-6043-4396-A3E4-44570B0F93D4}">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Proporre di fare in 20 anni tanto non cambia</t>
      </text>
    </comment>
    <comment ref="Z2" authorId="2" shapeId="0" xr:uid="{F764BE51-C11A-4F84-8DD0-90D54553D782}">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Considero nel capex anche decommisioning e substitution, denominatore non attualizzato</t>
      </text>
    </comment>
    <comment ref="AF2" authorId="3" shapeId="0" xr:uid="{930F0430-1BE8-48E3-8299-349BEB49315D}">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Formula identica a come fatto nella reference</t>
      </text>
    </comment>
    <comment ref="A24" authorId="4" shapeId="0" xr:uid="{C5EAACB2-B59D-4117-9790-06B63E53C909}">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Media fatta da due report
Rispondi:
-IEA: https://www.iea.org/commentaries/is-carbon-capture-too-expensive
-A multi-scale framework for CO2capture, utilization, andsequestration: CCUS and CCU</t>
      </text>
    </comment>
    <comment ref="A30" authorId="5" shapeId="0" xr:uid="{987FAA1D-A902-4C9C-A5EA-C064BA3A2E88}">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Va aggiunto ogni anno di decommisioning o solo alla fine</t>
      </text>
    </comment>
    <comment ref="A31" authorId="6" shapeId="0" xr:uid="{ED102CED-478D-4212-AA49-55221E408E6C}">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Parla di questo</t>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tc={D9B4E052-73A9-4222-B9DD-A59AF7C7A273}</author>
    <author>tc={DDEB7846-A50F-45C1-9D23-FB164D14E518}</author>
    <author>tc={7C8CD373-5F33-4B27-96F2-CAF0335AF580}</author>
    <author>tc={30361B15-7C3E-4008-8736-EBD39A9A4990}</author>
    <author>tc={55F9DA8E-6F42-4853-B98B-AD51DBC1865B}</author>
    <author>tc={EB4EBD0F-8710-4AE1-A620-246E21F18FC8}</author>
    <author>tc={82D670BA-8393-4B70-A3F4-4E64B777A44F}</author>
  </authors>
  <commentList>
    <comment ref="AG1" authorId="0" shapeId="0" xr:uid="{D9B4E052-73A9-4222-B9DD-A59AF7C7A273}">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Numeratore uguale alla formula della reference, cioè con decommisioning e substitution come opex attualizzati, denominatore non attualizzando l'idrogeno prodotto</t>
      </text>
    </comment>
    <comment ref="H2" authorId="1" shapeId="0" xr:uid="{DDEB7846-A50F-45C1-9D23-FB164D14E518}">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Proporre di fare in 20 anni tanto non cambia</t>
      </text>
    </comment>
    <comment ref="Z2" authorId="2" shapeId="0" xr:uid="{7C8CD373-5F33-4B27-96F2-CAF0335AF58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Considero nel capex anche decommisioning e substitution, denominatore non attualizzato</t>
      </text>
    </comment>
    <comment ref="AF2" authorId="3" shapeId="0" xr:uid="{30361B15-7C3E-4008-8736-EBD39A9A499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Formula identica a come fatto nella reference</t>
      </text>
    </comment>
    <comment ref="A24" authorId="4" shapeId="0" xr:uid="{55F9DA8E-6F42-4853-B98B-AD51DBC1865B}">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Media fatta da due report
Rispondi:
-IEA: https://www.iea.org/commentaries/is-carbon-capture-too-expensive
-A multi-scale framework for CO2capture, utilization, andsequestration: CCUS and CCU</t>
      </text>
    </comment>
    <comment ref="A30" authorId="5" shapeId="0" xr:uid="{EB4EBD0F-8710-4AE1-A620-246E21F18FC8}">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Va aggiunto ogni anno di decommisioning o solo alla fine</t>
      </text>
    </comment>
    <comment ref="A31" authorId="6" shapeId="0" xr:uid="{82D670BA-8393-4B70-A3F4-4E64B777A44F}">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Parla di questo</t>
      </text>
    </comment>
  </commentList>
</comments>
</file>

<file path=xl/sharedStrings.xml><?xml version="1.0" encoding="utf-8"?>
<sst xmlns="http://schemas.openxmlformats.org/spreadsheetml/2006/main" count="1224" uniqueCount="413">
  <si>
    <t>Automotive</t>
  </si>
  <si>
    <t>BUS</t>
  </si>
  <si>
    <t>giorni in un anno</t>
  </si>
  <si>
    <t>durata in giorni di un pieno [gg]</t>
  </si>
  <si>
    <t>Totali km percorsi con un pieno</t>
  </si>
  <si>
    <t>totale idrogeno che mi serve</t>
  </si>
  <si>
    <t>kg/y</t>
  </si>
  <si>
    <t>totale pieni in un anno</t>
  </si>
  <si>
    <t>numero di elettrolizzatori necessari</t>
  </si>
  <si>
    <t>idrogeno in un pieno [kg]</t>
  </si>
  <si>
    <t>pieni in un anno</t>
  </si>
  <si>
    <t>numero di auto totali</t>
  </si>
  <si>
    <t>numero di bus totali</t>
  </si>
  <si>
    <t>totale idrogeno necessario per un auto/year</t>
  </si>
  <si>
    <t>kg/(auto*year)</t>
  </si>
  <si>
    <t>totale idrogeno necessario per un BUS/year</t>
  </si>
  <si>
    <t>totale idrogeno necessario per tutte le auto</t>
  </si>
  <si>
    <t>kg/year</t>
  </si>
  <si>
    <t>totale idrogeno necessario per tutti i BUS</t>
  </si>
  <si>
    <t xml:space="preserve">metanolo </t>
  </si>
  <si>
    <t>hydrogen storage</t>
  </si>
  <si>
    <t>caso:Q18</t>
  </si>
  <si>
    <t>compressori?</t>
  </si>
  <si>
    <t>https://www.energy.gov/eere/fuelcells/doe-technical-targets-hydrogen-delivery</t>
  </si>
  <si>
    <t>costo metanolo euro/ton</t>
  </si>
  <si>
    <t>methanol density [kg/dm^3]=[g/cm^3]</t>
  </si>
  <si>
    <t>costo storage hydrogen [euro/kg]</t>
  </si>
  <si>
    <t>kWh/kg</t>
  </si>
  <si>
    <t>metanolo consumato [ton/y]</t>
  </si>
  <si>
    <t>metanolo consumato al giorno [kg/day]</t>
  </si>
  <si>
    <t>idrogeno prodotto ogni giorno</t>
  </si>
  <si>
    <t>energia totale consumata [MWh/y]</t>
  </si>
  <si>
    <t>costo tank di metanolo di capacità 15000L</t>
  </si>
  <si>
    <t>https://www.indiamart.com/proddetail/methanol-storage-tank-25303131688.html</t>
  </si>
  <si>
    <t>idrogeno prodotto ogni 7 gg</t>
  </si>
  <si>
    <t>capacity nominal load [kg/h]</t>
  </si>
  <si>
    <t>numero di tank necessari</t>
  </si>
  <si>
    <t>costo totale per il mio caso</t>
  </si>
  <si>
    <t>numero di compressori</t>
  </si>
  <si>
    <t>1 di backup</t>
  </si>
  <si>
    <t>litri totali</t>
  </si>
  <si>
    <t>costo di mantenimento al kg</t>
  </si>
  <si>
    <t>costo 1 compressore</t>
  </si>
  <si>
    <t>metanolo in litri che mi serve in un giorno</t>
  </si>
  <si>
    <t>idrogeno prodotto ogni ora [kg/h]</t>
  </si>
  <si>
    <r>
      <t>costo totale [M</t>
    </r>
    <r>
      <rPr>
        <sz val="11"/>
        <color theme="1"/>
        <rFont val="Calibri"/>
        <family val="2"/>
      </rPr>
      <t>€/y]</t>
    </r>
  </si>
  <si>
    <t>ogni quanti giorni devo riempire i tank di nuovo</t>
  </si>
  <si>
    <t>maintenaince [MEURO/y]</t>
  </si>
  <si>
    <t>polarization curve migliore</t>
  </si>
  <si>
    <t>provane alte</t>
  </si>
  <si>
    <t>energy consumed [kWh]</t>
  </si>
  <si>
    <t>hydrogen produced [kg/y] (faraday law)</t>
  </si>
  <si>
    <t>Voltage [V]</t>
  </si>
  <si>
    <t>Current [mA/cm^2]</t>
  </si>
  <si>
    <t>Power [mW/cm^2]</t>
  </si>
  <si>
    <t>efficiency</t>
  </si>
  <si>
    <t>Number of cell</t>
  </si>
  <si>
    <t>number of hour</t>
  </si>
  <si>
    <t>number of second in one year</t>
  </si>
  <si>
    <t>surface area [cm^2]</t>
  </si>
  <si>
    <t>nc=100</t>
  </si>
  <si>
    <t>nc=500</t>
  </si>
  <si>
    <t>nc=1000</t>
  </si>
  <si>
    <t>nc=2000</t>
  </si>
  <si>
    <t>reasonable</t>
  </si>
  <si>
    <t>dato per numero di elettrolizzatori</t>
  </si>
  <si>
    <t>dati idrogeno</t>
  </si>
  <si>
    <t>CASO 1</t>
  </si>
  <si>
    <t>Z</t>
  </si>
  <si>
    <t>CASO 2</t>
  </si>
  <si>
    <t>F</t>
  </si>
  <si>
    <t>CASO 3</t>
  </si>
  <si>
    <t>M_H2</t>
  </si>
  <si>
    <t>CASO4</t>
  </si>
  <si>
    <t>LHV [J/kg]</t>
  </si>
  <si>
    <t>CASO5</t>
  </si>
  <si>
    <t>EOLICO</t>
  </si>
  <si>
    <t>CAPEX [M€]</t>
  </si>
  <si>
    <t>YEARS</t>
  </si>
  <si>
    <t>OPEX [M€/y]</t>
  </si>
  <si>
    <t>METHANOL COST [M€/Y]</t>
  </si>
  <si>
    <t>DECOMISSIONING [M€]</t>
  </si>
  <si>
    <t>STACK SUBSTITUTION [M€]</t>
  </si>
  <si>
    <t>HYDROGEN PRODUCED EACH YEAR [kg/y]</t>
  </si>
  <si>
    <t>TOTALE COSTI</t>
  </si>
  <si>
    <t>TOTALE IDROGENO PRODOTTO</t>
  </si>
  <si>
    <t>hydrogen cost [€/kg]</t>
  </si>
  <si>
    <t>OPEX [M€]</t>
  </si>
  <si>
    <t>DECOMMISIONING [M€]</t>
  </si>
  <si>
    <t>PV</t>
  </si>
  <si>
    <t>METHANOL</t>
  </si>
  <si>
    <r>
      <t>COST OF 1 YEAR [M</t>
    </r>
    <r>
      <rPr>
        <sz val="11"/>
        <color theme="1"/>
        <rFont val="Calibri"/>
        <family val="2"/>
      </rPr>
      <t>€]</t>
    </r>
  </si>
  <si>
    <t>METHANOL STORAGE TANK</t>
  </si>
  <si>
    <t>CAPEX</t>
  </si>
  <si>
    <t>OPEX</t>
  </si>
  <si>
    <t>ipotizzo 3% del capex</t>
  </si>
  <si>
    <t>HYDROGEN STORAGE</t>
  </si>
  <si>
    <t>come mantenimento considero solo l'idrogeno che possono contenere i tank</t>
  </si>
  <si>
    <t>CO2 STORAGE</t>
  </si>
  <si>
    <t>ELECTROLYZER</t>
  </si>
  <si>
    <t>SUBSTITUTION [M€/10Y]</t>
  </si>
  <si>
    <t>IDROGENO CHE MI SERVE</t>
  </si>
  <si>
    <t>CASI</t>
  </si>
  <si>
    <t>ENERGIA DA PRODURRE [kWh/y]</t>
  </si>
  <si>
    <t>kg_H2 prodotti con questa energia</t>
  </si>
  <si>
    <t>numero di elettrolizzatori che mi servono per produrre l'idrogeno necessario</t>
  </si>
  <si>
    <t>ENERGIA CHE CONSUMO [MWh/y]</t>
  </si>
  <si>
    <r>
      <t>COSTO [</t>
    </r>
    <r>
      <rPr>
        <sz val="11"/>
        <color theme="1"/>
        <rFont val="Calibri"/>
        <family val="2"/>
      </rPr>
      <t>€/kW]</t>
    </r>
  </si>
  <si>
    <t>O&amp;M [€/kW]</t>
  </si>
  <si>
    <r>
      <t>OPEX [M</t>
    </r>
    <r>
      <rPr>
        <sz val="11"/>
        <color theme="1"/>
        <rFont val="Calibri"/>
        <family val="2"/>
      </rPr>
      <t>€]</t>
    </r>
  </si>
  <si>
    <t>DECOMISSIONING</t>
  </si>
  <si>
    <t>DECOMMISIONING</t>
  </si>
  <si>
    <t>MW installati</t>
  </si>
  <si>
    <t>TOTALE [M€]</t>
  </si>
  <si>
    <t>kW installati</t>
  </si>
  <si>
    <t>CASO 4</t>
  </si>
  <si>
    <t>CF</t>
  </si>
  <si>
    <t>CASO 5</t>
  </si>
  <si>
    <t>operation hour [h/y]</t>
  </si>
  <si>
    <t>MWh prodotti</t>
  </si>
  <si>
    <t>COSTO ELY appunti</t>
  </si>
  <si>
    <t>COSTO ELY MCPHY</t>
  </si>
  <si>
    <t>potenza [kW]</t>
  </si>
  <si>
    <t>costo al kW [€/kW]</t>
  </si>
  <si>
    <t>costo totale [M€]</t>
  </si>
  <si>
    <t>idrogeno prodotto [kg/y]</t>
  </si>
  <si>
    <t>fisso l'eolico come base di partenza e il resto lo copro con fotovoltaico che sono scalabili più facilmente</t>
  </si>
  <si>
    <t>PV+EOLICO</t>
  </si>
  <si>
    <t>PV+EOLICO+ELY</t>
  </si>
  <si>
    <t>PV+EOLICO-RICAVI VENDITA IDROGENO</t>
  </si>
  <si>
    <t>PV+EOLICO+ELY-RICAVI VENDITA IDROGENO</t>
  </si>
  <si>
    <t>COST OF HYDROGEN</t>
  </si>
  <si>
    <t>relativo ai dati sul tablet che produce meno idrogeno</t>
  </si>
  <si>
    <r>
      <t>PREZZO DI VENDITA IDROGENO CHE PRODUCO [</t>
    </r>
    <r>
      <rPr>
        <sz val="11"/>
        <color theme="1"/>
        <rFont val="Calibri"/>
        <family val="2"/>
      </rPr>
      <t>€/kg]</t>
    </r>
  </si>
  <si>
    <t>https://www.leaseplan.com/it-it/news-auto/futuro-della-mobilita/auto-a-idrogeno-come-funzionano-costi-e-modelli/#:~:text=Quanto%20costa%20il%20rifornimento%20di%20un'auto%20a%20idrogeno&amp;text=Il%20costo%20dell'idrogeno%20si,tratta%20di%20un%20rifornimento%20green.</t>
  </si>
  <si>
    <t>dovrei cambiare i dati relativi all'energia da produrre e quindi il costo aumenta ma ci sta perché sono elettrolizzatori ad acqua quindi ne richiedono di più</t>
  </si>
  <si>
    <t>BUS DATA</t>
  </si>
  <si>
    <t>days in one year</t>
  </si>
  <si>
    <t>km IN ONE YEAR MADE BY ONE BUS</t>
  </si>
  <si>
    <t>output that i need to satisfy the requests</t>
  </si>
  <si>
    <t>km that i can do with 45kg of bus tank capacity</t>
  </si>
  <si>
    <t>FULL BUS TANK CAPACITY [kg_H_2] a 350 bar</t>
  </si>
  <si>
    <t>total amount of fill up in one year</t>
  </si>
  <si>
    <t>BUSES IN THE ISLAND</t>
  </si>
  <si>
    <t xml:space="preserve">assunto io </t>
  </si>
  <si>
    <t>total amount of hydrogen that i need for one car [kg_H2/car*year]</t>
  </si>
  <si>
    <t>total amount of hydrogen that i need for one bus [kg_H2/bus*year]</t>
  </si>
  <si>
    <t>km/y</t>
  </si>
  <si>
    <t>methanol used each day [kg/day]</t>
  </si>
  <si>
    <t>total energy consumed [MWh/y]</t>
  </si>
  <si>
    <t>grams of methanol that i need to satisfy the hydrogen production [g/y]</t>
  </si>
  <si>
    <t>number of compressor</t>
  </si>
  <si>
    <t xml:space="preserve">maintenaince cost </t>
  </si>
  <si>
    <r>
      <t>one unit compressor cost [</t>
    </r>
    <r>
      <rPr>
        <sz val="11"/>
        <color theme="1"/>
        <rFont val="Calibri"/>
        <family val="2"/>
      </rPr>
      <t>€/compressor]</t>
    </r>
  </si>
  <si>
    <r>
      <t>total cost [M</t>
    </r>
    <r>
      <rPr>
        <sz val="11"/>
        <color theme="1"/>
        <rFont val="Calibri"/>
        <family val="2"/>
      </rPr>
      <t>€/y]</t>
    </r>
  </si>
  <si>
    <t>capacity in days</t>
  </si>
  <si>
    <t>Electrolyser cost: using vladimir formula in supporting information</t>
  </si>
  <si>
    <t>formula vladimir senza il secondo termine dentro le parentesi</t>
  </si>
  <si>
    <r>
      <t>costo_min [</t>
    </r>
    <r>
      <rPr>
        <sz val="11"/>
        <color theme="1"/>
        <rFont val="Calibri"/>
        <family val="2"/>
      </rPr>
      <t>€]</t>
    </r>
  </si>
  <si>
    <t>Faraday efficiency</t>
  </si>
  <si>
    <t>number of stacks that i need</t>
  </si>
  <si>
    <t>NOMINAL POWER [kW/stack]</t>
  </si>
  <si>
    <t>TOTAL INSTALLED POWER [MW]</t>
  </si>
  <si>
    <r>
      <t>ELECTROLYSER COST [M</t>
    </r>
    <r>
      <rPr>
        <b/>
        <sz val="11"/>
        <color theme="1"/>
        <rFont val="Calibri"/>
        <family val="2"/>
      </rPr>
      <t>€</t>
    </r>
    <r>
      <rPr>
        <b/>
        <sz val="10.65"/>
        <color theme="1"/>
        <rFont val="Calibri"/>
        <family val="2"/>
      </rPr>
      <t>]</t>
    </r>
  </si>
  <si>
    <t>dati tabella 2.2: production of clean hydrogen by electroreforming of oxyg. Org compounds pag 17</t>
  </si>
  <si>
    <t>TEMPERATURE</t>
  </si>
  <si>
    <t>ENTALPY [kJ/mol]</t>
  </si>
  <si>
    <t>GIBBS FREE ENERGY [kJ/mol]</t>
  </si>
  <si>
    <t>H2_STOR+COMPR</t>
  </si>
  <si>
    <t>THE ECONOMIC ANALYSIS IS BASED ON THIS POINT OF THE CURVE</t>
  </si>
  <si>
    <t>Total energy consumed [MWh/y]</t>
  </si>
  <si>
    <t>Costo elettricità [M€]</t>
  </si>
  <si>
    <t>grammi di acqua</t>
  </si>
  <si>
    <t>m^3 di acqua</t>
  </si>
  <si>
    <t>kg di acqua</t>
  </si>
  <si>
    <t>ISOLA SAN PIETRO</t>
  </si>
  <si>
    <t>Termoneutral voltage [V]</t>
  </si>
  <si>
    <t>U_reversible [V]</t>
  </si>
  <si>
    <t>Efficiency of the process</t>
  </si>
  <si>
    <t>Number of hour</t>
  </si>
  <si>
    <t>Number of second in one year</t>
  </si>
  <si>
    <t>CO2</t>
  </si>
  <si>
    <t>grammi prodotti</t>
  </si>
  <si>
    <t>kg prodotti</t>
  </si>
  <si>
    <t>ton prodotti</t>
  </si>
  <si>
    <t>Produced ton</t>
  </si>
  <si>
    <t>€/ton</t>
  </si>
  <si>
    <t>Cost [M€/y]</t>
  </si>
  <si>
    <t>Electricity cost</t>
  </si>
  <si>
    <t>total amount of hydrogen  [kg_H2/year]</t>
  </si>
  <si>
    <t>Methanol</t>
  </si>
  <si>
    <t>Compressors</t>
  </si>
  <si>
    <t>Hydrogen storage</t>
  </si>
  <si>
    <t>Water</t>
  </si>
  <si>
    <t>Energy consumed [kWh]</t>
  </si>
  <si>
    <t>Hydrogen produced [kg/y] (faraday law)</t>
  </si>
  <si>
    <t>METHANOL COST [M€]</t>
  </si>
  <si>
    <t>Days in one year</t>
  </si>
  <si>
    <t>Average km/y for an italian car[gg]</t>
  </si>
  <si>
    <t>Total amount of fill up in one year</t>
  </si>
  <si>
    <t>Full tank car capacity [kg]</t>
  </si>
  <si>
    <t>Vehicles in the island</t>
  </si>
  <si>
    <t>Km with ful tank capacity</t>
  </si>
  <si>
    <t>Bio-methanol cost [euro/ton]</t>
  </si>
  <si>
    <t xml:space="preserve">Methanol consumed [ton/y] </t>
  </si>
  <si>
    <t>Methanol tank cost: 15000L capacity</t>
  </si>
  <si>
    <t>Numbers of tanks</t>
  </si>
  <si>
    <t>Storage tank capacity [l]</t>
  </si>
  <si>
    <t>Methanol consumed each day [l/d]</t>
  </si>
  <si>
    <t>Autovehicle</t>
  </si>
  <si>
    <t>Total amount of hydrogen that i need</t>
  </si>
  <si>
    <t>Hydrogen storage cost [euro/kg]</t>
  </si>
  <si>
    <t>Hydrogen produced each day [kg/d]</t>
  </si>
  <si>
    <t>Hydrogen produced each 5 days [kg/5d]</t>
  </si>
  <si>
    <r>
      <t>Total cost [M</t>
    </r>
    <r>
      <rPr>
        <sz val="11"/>
        <color theme="1"/>
        <rFont val="Calibri"/>
        <family val="2"/>
      </rPr>
      <t>€</t>
    </r>
    <r>
      <rPr>
        <sz val="11"/>
        <color theme="1"/>
        <rFont val="Calibri"/>
        <family val="2"/>
        <scheme val="minor"/>
      </rPr>
      <t>]</t>
    </r>
  </si>
  <si>
    <t>Hydrogen produced each hour [kg_H2/h]</t>
  </si>
  <si>
    <t>HOW MANY km THE BUS DOES WITH 1 kg OF  HYDROGEN [km/kgH_2]</t>
  </si>
  <si>
    <t>single cell</t>
  </si>
  <si>
    <t>spiega xk</t>
  </si>
  <si>
    <t>Cars</t>
  </si>
  <si>
    <t>Number of bus</t>
  </si>
  <si>
    <t>Total amount of hydrogen that i need for one car [kg_H2/car*year]</t>
  </si>
  <si>
    <t>Total hydrogen demand [kg_H2/year]</t>
  </si>
  <si>
    <t>Number of of fill up in one year</t>
  </si>
  <si>
    <t>Bus [km/y]</t>
  </si>
  <si>
    <t>Number of cars</t>
  </si>
  <si>
    <t>Hydrogen demand</t>
  </si>
  <si>
    <t>Total amount of hydrogen that i need [kg/y]</t>
  </si>
  <si>
    <t>Capacity [days]</t>
  </si>
  <si>
    <t>Total cost [M€]</t>
  </si>
  <si>
    <t>i costi mettili a parte</t>
  </si>
  <si>
    <t>Number of unit installed</t>
  </si>
  <si>
    <t>Capacity at nominal load [kg/h]</t>
  </si>
  <si>
    <t>Energy consumption [kWh/kg]</t>
  </si>
  <si>
    <t>Water consumed [m^3/y]</t>
  </si>
  <si>
    <t>CO2 produced [ton/y]</t>
  </si>
  <si>
    <t>Tabelle per tesi</t>
  </si>
  <si>
    <t>aggiungi ai costi nellultimo foglio</t>
  </si>
  <si>
    <t>Main Value</t>
  </si>
  <si>
    <t>[kg/y]</t>
  </si>
  <si>
    <t>[ton/y]</t>
  </si>
  <si>
    <t xml:space="preserve">Water consumed </t>
  </si>
  <si>
    <t xml:space="preserve">CO2 produced </t>
  </si>
  <si>
    <t xml:space="preserve">Methanol consumed </t>
  </si>
  <si>
    <t xml:space="preserve">Hydrogen produced </t>
  </si>
  <si>
    <t>Stored product</t>
  </si>
  <si>
    <t>[l/d]</t>
  </si>
  <si>
    <t>[kg/dm^3]</t>
  </si>
  <si>
    <t>[euro/ton]</t>
  </si>
  <si>
    <t>[days]</t>
  </si>
  <si>
    <t>[l]</t>
  </si>
  <si>
    <t xml:space="preserve">Storage tank capacity </t>
  </si>
  <si>
    <t xml:space="preserve">Bio-methanol cost </t>
  </si>
  <si>
    <t xml:space="preserve">Methanol density </t>
  </si>
  <si>
    <t xml:space="preserve">Methanol consumed each day </t>
  </si>
  <si>
    <r>
      <t>prezzo elettricità [</t>
    </r>
    <r>
      <rPr>
        <sz val="11"/>
        <color theme="1"/>
        <rFont val="Calibri"/>
        <family val="2"/>
      </rPr>
      <t>€</t>
    </r>
    <r>
      <rPr>
        <sz val="8.15"/>
        <color theme="1"/>
        <rFont val="Calibri"/>
        <family val="2"/>
      </rPr>
      <t>/MWh]</t>
    </r>
    <r>
      <rPr>
        <sz val="11"/>
        <color theme="1"/>
        <rFont val="Calibri"/>
        <family val="2"/>
        <scheme val="minor"/>
      </rPr>
      <t xml:space="preserve"> </t>
    </r>
  </si>
  <si>
    <t>addiungi elettricità al grafico a torta</t>
  </si>
  <si>
    <t>Electricity cost [M€/y]</t>
  </si>
  <si>
    <t>METHANOL COST [M€/y]</t>
  </si>
  <si>
    <t>guarda report</t>
  </si>
  <si>
    <t>opex tot</t>
  </si>
  <si>
    <t>LCOH</t>
  </si>
  <si>
    <r>
      <t>[M</t>
    </r>
    <r>
      <rPr>
        <sz val="11"/>
        <color theme="1"/>
        <rFont val="Calibri"/>
        <family val="2"/>
      </rPr>
      <t>€</t>
    </r>
    <r>
      <rPr>
        <sz val="11"/>
        <color theme="1"/>
        <rFont val="Calibri"/>
        <family val="2"/>
        <scheme val="minor"/>
      </rPr>
      <t>]</t>
    </r>
  </si>
  <si>
    <t>[M€]</t>
  </si>
  <si>
    <t xml:space="preserve">Hydrogen storage cost </t>
  </si>
  <si>
    <t>[€/kg]</t>
  </si>
  <si>
    <t>CO2 storage cost</t>
  </si>
  <si>
    <t>[€/compressor]</t>
  </si>
  <si>
    <t>One unit compressor cost</t>
  </si>
  <si>
    <t xml:space="preserve">Maintenaince </t>
  </si>
  <si>
    <t>Storage</t>
  </si>
  <si>
    <t xml:space="preserve">Total hydrogen storage cost </t>
  </si>
  <si>
    <t xml:space="preserve">Total  CO2 cost </t>
  </si>
  <si>
    <t xml:space="preserve">Total compressor cost </t>
  </si>
  <si>
    <t>Hydrogen produced each hour</t>
  </si>
  <si>
    <t xml:space="preserve"> [kg_H2/h]</t>
  </si>
  <si>
    <t xml:space="preserve">Hydrogen produced each day </t>
  </si>
  <si>
    <t>[kg/d]</t>
  </si>
  <si>
    <t>[kg/5d]</t>
  </si>
  <si>
    <t xml:space="preserve">Hydrogen produced each 5 days </t>
  </si>
  <si>
    <t>mass flow rate</t>
  </si>
  <si>
    <t>Total cost</t>
  </si>
  <si>
    <t>Methanol storage cost</t>
  </si>
  <si>
    <t>Methanol cost</t>
  </si>
  <si>
    <t>[M€/y]</t>
  </si>
  <si>
    <t>Hydrogen storage cost</t>
  </si>
  <si>
    <t>Compressor cost</t>
  </si>
  <si>
    <t>Compressor maintenaince cost</t>
  </si>
  <si>
    <t>Electrolyser cost</t>
  </si>
  <si>
    <t>Electrolyser maintenaince cost</t>
  </si>
  <si>
    <t>Electrolyser decomminsioning cost</t>
  </si>
  <si>
    <t>Electrolyser substitution cost</t>
  </si>
  <si>
    <t>Total electricity cost</t>
  </si>
  <si>
    <t>somma H2 attualizzato</t>
  </si>
  <si>
    <t>LCOH 2</t>
  </si>
  <si>
    <t>opex nuovo</t>
  </si>
  <si>
    <t>LCOH 3</t>
  </si>
  <si>
    <t>Capex 1</t>
  </si>
  <si>
    <t>LCOH 1</t>
  </si>
  <si>
    <t>hydrogeno prodotto attualizzato 2</t>
  </si>
  <si>
    <t>Power installed [kW]</t>
  </si>
  <si>
    <t>costo al kW</t>
  </si>
  <si>
    <t>kWh used</t>
  </si>
  <si>
    <t>km/45kg H2</t>
  </si>
  <si>
    <t>kg</t>
  </si>
  <si>
    <t xml:space="preserve">Total amount of hydrogen that i need for one bus </t>
  </si>
  <si>
    <t>kg_H2/bus*year</t>
  </si>
  <si>
    <t>kg_H2/year</t>
  </si>
  <si>
    <t xml:space="preserve">Hydrogen bus demand </t>
  </si>
  <si>
    <t>km/5,6 kg H2</t>
  </si>
  <si>
    <t xml:space="preserve">Car </t>
  </si>
  <si>
    <t xml:space="preserve">Full tank car capacity </t>
  </si>
  <si>
    <t>OPEX 2 e 3</t>
  </si>
  <si>
    <t>CAPEX 2 e 3</t>
  </si>
  <si>
    <r>
      <t>COST OF 1 YEAR [M</t>
    </r>
    <r>
      <rPr>
        <sz val="11"/>
        <color theme="1"/>
        <rFont val="Calibri"/>
        <family val="2"/>
      </rPr>
      <t>€/y]</t>
    </r>
  </si>
  <si>
    <t>Hydrogen value prod faraday law</t>
  </si>
  <si>
    <t>eccesso</t>
  </si>
  <si>
    <t>density of the mixture parameters</t>
  </si>
  <si>
    <t>a1</t>
  </si>
  <si>
    <t>a2</t>
  </si>
  <si>
    <t>a3</t>
  </si>
  <si>
    <t>a4</t>
  </si>
  <si>
    <t>a5</t>
  </si>
  <si>
    <t>M</t>
  </si>
  <si>
    <t>Temperature</t>
  </si>
  <si>
    <t>density</t>
  </si>
  <si>
    <t>kg/m^3</t>
  </si>
  <si>
    <t>BEST POLARIZATION CURVE old curve 70°C-1M</t>
  </si>
  <si>
    <t>ELECTRICITY COST [M€]</t>
  </si>
  <si>
    <t>Grafici LCOH</t>
  </si>
  <si>
    <r>
      <t>LCOH</t>
    </r>
    <r>
      <rPr>
        <vertAlign val="subscript"/>
        <sz val="11"/>
        <color theme="1"/>
        <rFont val="Calibri"/>
        <family val="2"/>
        <scheme val="minor"/>
      </rPr>
      <t>1</t>
    </r>
  </si>
  <si>
    <r>
      <t>LCOH</t>
    </r>
    <r>
      <rPr>
        <vertAlign val="subscript"/>
        <sz val="11"/>
        <color theme="1"/>
        <rFont val="Calibri"/>
        <family val="2"/>
        <scheme val="minor"/>
      </rPr>
      <t>2</t>
    </r>
  </si>
  <si>
    <r>
      <t>LCOH</t>
    </r>
    <r>
      <rPr>
        <vertAlign val="subscript"/>
        <sz val="11"/>
        <color theme="1"/>
        <rFont val="Calibri"/>
        <family val="2"/>
        <scheme val="minor"/>
      </rPr>
      <t>3</t>
    </r>
  </si>
  <si>
    <r>
      <t xml:space="preserve">0,08 </t>
    </r>
    <r>
      <rPr>
        <b/>
        <sz val="11"/>
        <color theme="1"/>
        <rFont val="Calibri"/>
        <family val="2"/>
      </rPr>
      <t>€</t>
    </r>
    <r>
      <rPr>
        <b/>
        <sz val="11"/>
        <color theme="1"/>
        <rFont val="Times New Roman"/>
        <family val="1"/>
      </rPr>
      <t>/kWh</t>
    </r>
  </si>
  <si>
    <t>0,12 €/kWh</t>
  </si>
  <si>
    <t>0,16 €/kWh</t>
  </si>
  <si>
    <t>0,24 €/kWh</t>
  </si>
  <si>
    <t>0,44 €/kWh</t>
  </si>
  <si>
    <r>
      <t>LCOH</t>
    </r>
    <r>
      <rPr>
        <vertAlign val="subscript"/>
        <sz val="11"/>
        <color theme="1"/>
        <rFont val="Calibri"/>
        <family val="2"/>
        <scheme val="minor"/>
      </rPr>
      <t xml:space="preserve">2 </t>
    </r>
  </si>
  <si>
    <t>SENSITIVITY ANALYSIS</t>
  </si>
  <si>
    <t>contributo opex</t>
  </si>
  <si>
    <t>contributo capex</t>
  </si>
  <si>
    <t>opex-electricity</t>
  </si>
  <si>
    <t>electricity</t>
  </si>
  <si>
    <t>somma</t>
  </si>
  <si>
    <t>opex w/o electricity</t>
  </si>
  <si>
    <t>LCOH1</t>
  </si>
  <si>
    <t>FIXED COST [M€]</t>
  </si>
  <si>
    <r>
      <t>MAINTENAINCE AND CO</t>
    </r>
    <r>
      <rPr>
        <b/>
        <vertAlign val="subscript"/>
        <sz val="11"/>
        <color theme="1"/>
        <rFont val="Calibri"/>
        <family val="2"/>
        <scheme val="minor"/>
      </rPr>
      <t>2</t>
    </r>
    <r>
      <rPr>
        <b/>
        <sz val="11"/>
        <color theme="1"/>
        <rFont val="Calibri"/>
        <family val="2"/>
        <scheme val="minor"/>
      </rPr>
      <t xml:space="preserve"> CAPTURE AND STORAGE [M€]</t>
    </r>
  </si>
  <si>
    <t>contributo capex 1</t>
  </si>
  <si>
    <t>contributo opex 1</t>
  </si>
  <si>
    <t>opex w/o electricity 1</t>
  </si>
  <si>
    <t>electricity 1</t>
  </si>
  <si>
    <t>CAPEX 2</t>
  </si>
  <si>
    <t>OPEX 2</t>
  </si>
  <si>
    <t>CAPEX 1</t>
  </si>
  <si>
    <t>OPEX 1</t>
  </si>
  <si>
    <t>METHANOL TANK</t>
  </si>
  <si>
    <r>
      <t>H</t>
    </r>
    <r>
      <rPr>
        <vertAlign val="subscript"/>
        <sz val="11"/>
        <color theme="1"/>
        <rFont val="Calibri"/>
        <family val="2"/>
        <scheme val="minor"/>
      </rPr>
      <t xml:space="preserve">2 </t>
    </r>
    <r>
      <rPr>
        <sz val="11"/>
        <color theme="1"/>
        <rFont val="Calibri"/>
        <family val="2"/>
        <scheme val="minor"/>
      </rPr>
      <t>STORAGE</t>
    </r>
  </si>
  <si>
    <t>ELECTROLYSER</t>
  </si>
  <si>
    <t>DECOM.+REPLACE.</t>
  </si>
  <si>
    <t>ELECTRICITY</t>
  </si>
  <si>
    <t>CAPEX 3</t>
  </si>
  <si>
    <t>TOT CAPEX</t>
  </si>
  <si>
    <t>TOT OPEX</t>
  </si>
  <si>
    <r>
      <t>O&amp;M+CO</t>
    </r>
    <r>
      <rPr>
        <vertAlign val="subscript"/>
        <sz val="11"/>
        <color theme="1"/>
        <rFont val="Calibri"/>
        <family val="2"/>
        <scheme val="minor"/>
      </rPr>
      <t>2</t>
    </r>
  </si>
  <si>
    <t>IDROGENO</t>
  </si>
  <si>
    <t>TOT HYDROGEN</t>
  </si>
  <si>
    <t>UGUALE AL 3 MA HO L'IDROGENO ATTUALIZZATO</t>
  </si>
  <si>
    <t>LCOH2</t>
  </si>
  <si>
    <t>LCOH3</t>
  </si>
  <si>
    <t>TABELLA RIASSUNTIVA</t>
  </si>
  <si>
    <t>DECOMMISIONING &amp; REPLACEMENT</t>
  </si>
  <si>
    <t>Sensitivity analysis</t>
  </si>
  <si>
    <r>
      <t xml:space="preserve">LCOH1-0,08 </t>
    </r>
    <r>
      <rPr>
        <sz val="11"/>
        <color theme="1"/>
        <rFont val="Calibri"/>
        <family val="2"/>
      </rPr>
      <t>€/kWh</t>
    </r>
  </si>
  <si>
    <r>
      <t xml:space="preserve">LCOH1-0,12 </t>
    </r>
    <r>
      <rPr>
        <sz val="11"/>
        <color theme="1"/>
        <rFont val="Calibri"/>
        <family val="2"/>
      </rPr>
      <t>€/kWh</t>
    </r>
  </si>
  <si>
    <r>
      <t xml:space="preserve">LCOH1-0,16 </t>
    </r>
    <r>
      <rPr>
        <sz val="11"/>
        <color theme="1"/>
        <rFont val="Calibri"/>
        <family val="2"/>
      </rPr>
      <t>€/kWh</t>
    </r>
  </si>
  <si>
    <r>
      <t xml:space="preserve">LCOH1-0,24 </t>
    </r>
    <r>
      <rPr>
        <sz val="11"/>
        <color theme="1"/>
        <rFont val="Calibri"/>
        <family val="2"/>
      </rPr>
      <t>€/kWh</t>
    </r>
  </si>
  <si>
    <t>LCOH2-0,08 €/kWh</t>
  </si>
  <si>
    <t>LCOH3-0,08 €/kWh</t>
  </si>
  <si>
    <t>LCOH2-0,12 €/kWh</t>
  </si>
  <si>
    <t>LCOH3-0,12 €/kWh</t>
  </si>
  <si>
    <t>LCOH2-0,16 €/kWh</t>
  </si>
  <si>
    <t>LCOH3-0,16 €/kWh</t>
  </si>
  <si>
    <t>LCOH2-0,24 €/kWh</t>
  </si>
  <si>
    <t>LCOH3-0,24 €/kWh</t>
  </si>
  <si>
    <t xml:space="preserve">ELECTRICITY COST </t>
  </si>
  <si>
    <r>
      <t>MAINTENAINCE AND CO</t>
    </r>
    <r>
      <rPr>
        <b/>
        <vertAlign val="subscript"/>
        <sz val="11"/>
        <color theme="1"/>
        <rFont val="Calibri"/>
        <family val="2"/>
        <scheme val="minor"/>
      </rPr>
      <t>2</t>
    </r>
    <r>
      <rPr>
        <b/>
        <sz val="11"/>
        <color theme="1"/>
        <rFont val="Calibri"/>
        <family val="2"/>
        <scheme val="minor"/>
      </rPr>
      <t xml:space="preserve"> CAPTURE AND STORAGE </t>
    </r>
  </si>
  <si>
    <r>
      <t>I COSTI SONO IN M</t>
    </r>
    <r>
      <rPr>
        <sz val="11"/>
        <color theme="1"/>
        <rFont val="Calibri"/>
        <family val="2"/>
      </rPr>
      <t>€</t>
    </r>
  </si>
  <si>
    <t xml:space="preserve">METHANOL COST </t>
  </si>
  <si>
    <t xml:space="preserve">DECOMISSIONING </t>
  </si>
  <si>
    <t xml:space="preserve">STACK SUBSTITUTION </t>
  </si>
  <si>
    <t xml:space="preserve">FIXED COST </t>
  </si>
  <si>
    <t xml:space="preserve">MAINTENAINCE AND CO2 CAPTURE AND STORAGE </t>
  </si>
  <si>
    <t>M€</t>
  </si>
  <si>
    <t>M€/y</t>
  </si>
  <si>
    <t xml:space="preserve">METHANOL </t>
  </si>
  <si>
    <t xml:space="preserve">ELECTRICITY </t>
  </si>
  <si>
    <t>WEC Literature</t>
  </si>
  <si>
    <t>MWEC Literature</t>
  </si>
  <si>
    <t>MWEC This work old curve</t>
  </si>
  <si>
    <t>MWEC This work new curve</t>
  </si>
  <si>
    <t>E_specific kWh/kg</t>
  </si>
  <si>
    <t>Electrolyser O&amp;M</t>
  </si>
  <si>
    <t>Compressor O&amp;M</t>
  </si>
  <si>
    <t xml:space="preserve">Methanol </t>
  </si>
  <si>
    <r>
      <t>CO</t>
    </r>
    <r>
      <rPr>
        <vertAlign val="subscript"/>
        <sz val="11"/>
        <color theme="1"/>
        <rFont val="Calibri"/>
        <family val="2"/>
        <scheme val="minor"/>
      </rPr>
      <t>2</t>
    </r>
    <r>
      <rPr>
        <sz val="11"/>
        <color theme="1"/>
        <rFont val="Calibri"/>
        <family val="2"/>
        <scheme val="minor"/>
      </rPr>
      <t xml:space="preserve"> capture &amp; storage</t>
    </r>
  </si>
  <si>
    <t xml:space="preserve">Electricity </t>
  </si>
  <si>
    <t xml:space="preserve">Electrolyser substitution </t>
  </si>
  <si>
    <t xml:space="preserve">Electrolyser decomminsioning </t>
  </si>
  <si>
    <t xml:space="preserve">Electrolyser </t>
  </si>
  <si>
    <t>Hydrogen tanks</t>
  </si>
  <si>
    <t>Methanol tanks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</si>
</sst>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
    <numFmt numFmtId="166" formatCode="0.0"/>
  </numFmts>
  <fonts count="19" x14ac:knownFonts="1">
    <font>
      <sz val="11"/>
      <color theme="1"/>
      <name val="Calibri"/>
      <family val="2"/>
      <scheme val="minor"/>
    </font>
    <font>
      <b/>
      <sz val="11"/>
      <color theme="1"/>
      <name val="Calibri"/>
      <family val="2"/>
      <scheme val="minor"/>
    </font>
    <font>
      <sz val="11"/>
      <color theme="1"/>
      <name val="Calibri"/>
      <family val="2"/>
    </font>
    <font>
      <u/>
      <sz val="11"/>
      <color theme="10"/>
      <name val="Calibri"/>
      <family val="2"/>
      <scheme val="minor"/>
    </font>
    <font>
      <b/>
      <sz val="11"/>
      <color theme="1"/>
      <name val="Calibri"/>
      <family val="2"/>
    </font>
    <font>
      <b/>
      <sz val="10.65"/>
      <color theme="1"/>
      <name val="Calibri"/>
      <family val="2"/>
    </font>
    <font>
      <sz val="10"/>
      <color theme="1"/>
      <name val="Calibri"/>
      <family val="2"/>
      <scheme val="minor"/>
    </font>
    <font>
      <b/>
      <sz val="20"/>
      <color theme="1"/>
      <name val="Calibri"/>
      <family val="2"/>
      <scheme val="minor"/>
    </font>
    <font>
      <sz val="8.15"/>
      <color theme="1"/>
      <name val="Calibri"/>
      <family val="2"/>
    </font>
    <font>
      <sz val="11"/>
      <name val="Calibri"/>
      <family val="2"/>
      <scheme val="minor"/>
    </font>
    <font>
      <b/>
      <sz val="11"/>
      <name val="Calibri"/>
      <family val="2"/>
      <scheme val="minor"/>
    </font>
    <font>
      <sz val="20"/>
      <color theme="1"/>
      <name val="Calibri"/>
      <family val="2"/>
      <scheme val="minor"/>
    </font>
    <font>
      <b/>
      <sz val="72"/>
      <color theme="1"/>
      <name val="Calibri"/>
      <family val="2"/>
      <scheme val="minor"/>
    </font>
    <font>
      <sz val="11"/>
      <color theme="1"/>
      <name val="Times New Roman"/>
      <family val="1"/>
    </font>
    <font>
      <sz val="11"/>
      <color rgb="FF000000"/>
      <name val="Times New Roman"/>
      <family val="1"/>
    </font>
    <font>
      <vertAlign val="subscript"/>
      <sz val="11"/>
      <color theme="1"/>
      <name val="Calibri"/>
      <family val="2"/>
      <scheme val="minor"/>
    </font>
    <font>
      <b/>
      <sz val="11"/>
      <color theme="1"/>
      <name val="Times New Roman"/>
      <family val="1"/>
    </font>
    <font>
      <b/>
      <vertAlign val="subscript"/>
      <sz val="11"/>
      <color theme="1"/>
      <name val="Calibri"/>
      <family val="2"/>
      <scheme val="minor"/>
    </font>
    <font>
      <sz val="11"/>
      <color rgb="FFFF0000"/>
      <name val="Calibri"/>
      <family val="2"/>
      <scheme val="minor"/>
    </font>
  </fonts>
  <fills count="14">
    <fill>
      <patternFill patternType="none"/>
    </fill>
    <fill>
      <patternFill patternType="gray125"/>
    </fill>
    <fill>
      <patternFill patternType="solid">
        <fgColor rgb="FFFFFF00"/>
        <bgColor indexed="64"/>
      </patternFill>
    </fill>
    <fill>
      <patternFill patternType="solid">
        <fgColor theme="9" tint="0.79998168889431442"/>
        <bgColor theme="9" tint="0.79998168889431442"/>
      </patternFill>
    </fill>
    <fill>
      <patternFill patternType="solid">
        <fgColor theme="9"/>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
      <patternFill patternType="solid">
        <fgColor theme="5"/>
        <bgColor indexed="64"/>
      </patternFill>
    </fill>
    <fill>
      <patternFill patternType="solid">
        <fgColor rgb="FF00B0F0"/>
        <bgColor indexed="64"/>
      </patternFill>
    </fill>
    <fill>
      <patternFill patternType="solid">
        <fgColor theme="0"/>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s>
  <borders count="2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theme="9" tint="0.39997558519241921"/>
      </top>
      <bottom style="thin">
        <color theme="9" tint="0.39997558519241921"/>
      </bottom>
      <diagonal/>
    </border>
    <border>
      <left style="thin">
        <color theme="9" tint="0.39997558519241921"/>
      </left>
      <right/>
      <top/>
      <bottom style="thin">
        <color theme="9" tint="0.39997558519241921"/>
      </bottom>
      <diagonal/>
    </border>
    <border>
      <left style="medium">
        <color indexed="64"/>
      </left>
      <right style="medium">
        <color indexed="64"/>
      </right>
      <top style="medium">
        <color indexed="64"/>
      </top>
      <bottom style="thin">
        <color theme="9" tint="0.39997558519241921"/>
      </bottom>
      <diagonal/>
    </border>
    <border>
      <left style="medium">
        <color indexed="64"/>
      </left>
      <right style="medium">
        <color indexed="64"/>
      </right>
      <top style="thin">
        <color theme="9" tint="0.39997558519241921"/>
      </top>
      <bottom style="thin">
        <color theme="9" tint="0.39997558519241921"/>
      </bottom>
      <diagonal/>
    </border>
    <border>
      <left style="medium">
        <color indexed="64"/>
      </left>
      <right style="medium">
        <color indexed="64"/>
      </right>
      <top style="thin">
        <color theme="9" tint="0.39997558519241921"/>
      </top>
      <bottom style="medium">
        <color indexed="64"/>
      </bottom>
      <diagonal/>
    </border>
    <border>
      <left/>
      <right/>
      <top style="medium">
        <color indexed="64"/>
      </top>
      <bottom/>
      <diagonal/>
    </border>
    <border>
      <left style="medium">
        <color indexed="64"/>
      </left>
      <right/>
      <top style="thin">
        <color theme="9" tint="0.39997558519241921"/>
      </top>
      <bottom style="thin">
        <color theme="9" tint="0.39997558519241921"/>
      </bottom>
      <diagonal/>
    </border>
    <border>
      <left style="medium">
        <color indexed="64"/>
      </left>
      <right/>
      <top style="medium">
        <color indexed="64"/>
      </top>
      <bottom style="thin">
        <color theme="9" tint="0.39997558519241921"/>
      </bottom>
      <diagonal/>
    </border>
    <border>
      <left style="medium">
        <color indexed="64"/>
      </left>
      <right/>
      <top style="thin">
        <color theme="9" tint="0.39997558519241921"/>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3" fillId="0" borderId="0" applyNumberFormat="0" applyFill="0" applyBorder="0" applyAlignment="0" applyProtection="0"/>
  </cellStyleXfs>
  <cellXfs count="347">
    <xf numFmtId="0" fontId="0" fillId="0" borderId="0" xfId="0"/>
    <xf numFmtId="0" fontId="0" fillId="0" borderId="0" xfId="0" applyAlignment="1">
      <alignment horizontal="center" wrapText="1"/>
    </xf>
    <xf numFmtId="0" fontId="0" fillId="0" borderId="4" xfId="0" applyBorder="1" applyAlignment="1">
      <alignment horizontal="center" wrapText="1"/>
    </xf>
    <xf numFmtId="0" fontId="0" fillId="0" borderId="5" xfId="0" applyBorder="1" applyAlignment="1">
      <alignment horizontal="center" wrapText="1"/>
    </xf>
    <xf numFmtId="0" fontId="0" fillId="0" borderId="3" xfId="0" applyBorder="1" applyAlignment="1">
      <alignment horizontal="center" wrapText="1"/>
    </xf>
    <xf numFmtId="0" fontId="0" fillId="0" borderId="4" xfId="0" applyBorder="1"/>
    <xf numFmtId="0" fontId="0" fillId="0" borderId="5" xfId="0" applyBorder="1"/>
    <xf numFmtId="0" fontId="0" fillId="0" borderId="13" xfId="0" applyBorder="1"/>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0" borderId="8" xfId="0" applyBorder="1"/>
    <xf numFmtId="0" fontId="0" fillId="3" borderId="15" xfId="0" applyFill="1" applyBorder="1"/>
    <xf numFmtId="0" fontId="0" fillId="0" borderId="6" xfId="0" applyBorder="1"/>
    <xf numFmtId="0" fontId="0" fillId="0" borderId="14" xfId="0" applyBorder="1"/>
    <xf numFmtId="0" fontId="1" fillId="0" borderId="9" xfId="0" applyFont="1" applyBorder="1"/>
    <xf numFmtId="0" fontId="1" fillId="0" borderId="1" xfId="0" applyFont="1" applyBorder="1"/>
    <xf numFmtId="0" fontId="1" fillId="0" borderId="10" xfId="0" applyFont="1" applyBorder="1"/>
    <xf numFmtId="0" fontId="1" fillId="0" borderId="11" xfId="0" applyFont="1" applyBorder="1"/>
    <xf numFmtId="0" fontId="0" fillId="0" borderId="12" xfId="0" applyBorder="1"/>
    <xf numFmtId="0" fontId="0" fillId="0" borderId="11" xfId="0" applyBorder="1" applyAlignment="1">
      <alignment horizontal="center" vertical="center" wrapText="1"/>
    </xf>
    <xf numFmtId="0" fontId="0" fillId="2" borderId="9" xfId="0" applyFill="1" applyBorder="1" applyAlignment="1">
      <alignment horizontal="center" vertical="center" wrapText="1"/>
    </xf>
    <xf numFmtId="0" fontId="0" fillId="0" borderId="2" xfId="0" applyBorder="1"/>
    <xf numFmtId="0" fontId="0" fillId="0" borderId="3" xfId="0" applyBorder="1"/>
    <xf numFmtId="0" fontId="0" fillId="0" borderId="1" xfId="0" applyBorder="1"/>
    <xf numFmtId="0" fontId="0" fillId="0" borderId="9" xfId="0" applyBorder="1"/>
    <xf numFmtId="0" fontId="0" fillId="0" borderId="11" xfId="0" applyBorder="1"/>
    <xf numFmtId="0" fontId="0" fillId="3" borderId="16" xfId="0" applyFill="1" applyBorder="1"/>
    <xf numFmtId="0" fontId="0" fillId="3" borderId="17" xfId="0" applyFill="1" applyBorder="1"/>
    <xf numFmtId="0" fontId="0" fillId="3" borderId="18" xfId="0" applyFill="1" applyBorder="1"/>
    <xf numFmtId="0" fontId="0" fillId="3" borderId="19" xfId="0" applyFill="1" applyBorder="1"/>
    <xf numFmtId="0" fontId="0" fillId="0" borderId="0" xfId="0" applyAlignment="1">
      <alignment horizontal="center" vertical="center" wrapText="1"/>
    </xf>
    <xf numFmtId="0" fontId="0" fillId="2" borderId="0" xfId="0" applyFill="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4" xfId="0" applyBorder="1" applyAlignment="1">
      <alignment horizontal="center" vertical="center"/>
    </xf>
    <xf numFmtId="0" fontId="0" fillId="0" borderId="10" xfId="0" applyBorder="1" applyAlignment="1">
      <alignment horizontal="center" vertical="center" wrapText="1"/>
    </xf>
    <xf numFmtId="0" fontId="0" fillId="0" borderId="0" xfId="0" applyAlignment="1">
      <alignment vertical="center"/>
    </xf>
    <xf numFmtId="0" fontId="0" fillId="0" borderId="6" xfId="0" applyBorder="1" applyAlignment="1">
      <alignment horizontal="center" vertical="center" wrapText="1"/>
    </xf>
    <xf numFmtId="0" fontId="1" fillId="0" borderId="0" xfId="0" applyFont="1" applyAlignment="1">
      <alignment horizontal="center" vertical="center" wrapText="1"/>
    </xf>
    <xf numFmtId="0" fontId="0" fillId="0" borderId="0" xfId="0" applyAlignment="1">
      <alignment horizontal="center" vertical="center"/>
    </xf>
    <xf numFmtId="0" fontId="0" fillId="4" borderId="0" xfId="0" applyFill="1"/>
    <xf numFmtId="0" fontId="0" fillId="5" borderId="0" xfId="0" applyFill="1"/>
    <xf numFmtId="0" fontId="0" fillId="6" borderId="5" xfId="0" applyFill="1" applyBorder="1"/>
    <xf numFmtId="0" fontId="0" fillId="6" borderId="0" xfId="0" applyFill="1"/>
    <xf numFmtId="0" fontId="0" fillId="7" borderId="5" xfId="0" applyFill="1" applyBorder="1"/>
    <xf numFmtId="0" fontId="0" fillId="8" borderId="5" xfId="0" applyFill="1" applyBorder="1"/>
    <xf numFmtId="0" fontId="0" fillId="8" borderId="0" xfId="0" applyFill="1"/>
    <xf numFmtId="0" fontId="0" fillId="7" borderId="0" xfId="0" applyFill="1"/>
    <xf numFmtId="0" fontId="0" fillId="8" borderId="3" xfId="0" applyFill="1" applyBorder="1"/>
    <xf numFmtId="0" fontId="0" fillId="4" borderId="5" xfId="0" applyFill="1" applyBorder="1"/>
    <xf numFmtId="0" fontId="0" fillId="5" borderId="5" xfId="0" applyFill="1" applyBorder="1"/>
    <xf numFmtId="0" fontId="0" fillId="0" borderId="12" xfId="0" applyBorder="1" applyAlignment="1">
      <alignment horizontal="center" vertical="center"/>
    </xf>
    <xf numFmtId="0" fontId="0" fillId="0" borderId="14" xfId="0" applyBorder="1" applyAlignment="1">
      <alignment horizontal="center" vertical="center"/>
    </xf>
    <xf numFmtId="0" fontId="3" fillId="0" borderId="4" xfId="1" applyBorder="1" applyAlignment="1">
      <alignment horizontal="center" wrapText="1"/>
    </xf>
    <xf numFmtId="0" fontId="0" fillId="0" borderId="13" xfId="0" applyBorder="1" applyAlignment="1">
      <alignment horizontal="center" vertical="center"/>
    </xf>
    <xf numFmtId="0" fontId="0" fillId="0" borderId="20" xfId="0" applyBorder="1"/>
    <xf numFmtId="0" fontId="0" fillId="0" borderId="4"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2" borderId="0" xfId="0" applyFill="1"/>
    <xf numFmtId="0" fontId="3" fillId="0" borderId="0" xfId="1" applyAlignment="1">
      <alignment horizontal="center" wrapText="1"/>
    </xf>
    <xf numFmtId="0" fontId="0" fillId="2" borderId="0" xfId="0" applyFill="1" applyAlignment="1">
      <alignment horizontal="center" wrapText="1"/>
    </xf>
    <xf numFmtId="0" fontId="0" fillId="0" borderId="0" xfId="0" applyAlignment="1">
      <alignment wrapText="1"/>
    </xf>
    <xf numFmtId="0" fontId="0" fillId="8" borderId="0" xfId="0" applyFill="1" applyAlignment="1">
      <alignment horizontal="center" vertical="center" wrapText="1"/>
    </xf>
    <xf numFmtId="0" fontId="1" fillId="2" borderId="0" xfId="0" applyFont="1" applyFill="1" applyAlignment="1">
      <alignment horizontal="center"/>
    </xf>
    <xf numFmtId="0" fontId="0" fillId="0" borderId="0" xfId="0" applyAlignment="1">
      <alignment horizontal="center"/>
    </xf>
    <xf numFmtId="0" fontId="6" fillId="0" borderId="0" xfId="0" applyFont="1" applyAlignment="1">
      <alignment wrapText="1"/>
    </xf>
    <xf numFmtId="0" fontId="3" fillId="0" borderId="0" xfId="1" applyAlignment="1">
      <alignment horizontal="center" vertical="center" wrapText="1"/>
    </xf>
    <xf numFmtId="0" fontId="1" fillId="0" borderId="1" xfId="0" applyFont="1" applyBorder="1" applyAlignment="1">
      <alignment horizontal="center" vertical="center" wrapText="1"/>
    </xf>
    <xf numFmtId="0" fontId="0" fillId="0" borderId="2" xfId="0" applyBorder="1" applyAlignment="1">
      <alignment horizontal="center" wrapText="1"/>
    </xf>
    <xf numFmtId="0" fontId="0" fillId="0" borderId="8" xfId="0" applyBorder="1" applyAlignment="1">
      <alignment horizontal="center"/>
    </xf>
    <xf numFmtId="0" fontId="0" fillId="6" borderId="9" xfId="0" applyFill="1" applyBorder="1" applyAlignment="1">
      <alignment horizontal="center" wrapText="1"/>
    </xf>
    <xf numFmtId="0" fontId="0" fillId="6" borderId="11" xfId="0" applyFill="1" applyBorder="1" applyAlignment="1">
      <alignment horizontal="center" wrapText="1"/>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1" fillId="0" borderId="0" xfId="0" applyFont="1" applyAlignment="1">
      <alignment horizontal="center"/>
    </xf>
    <xf numFmtId="0" fontId="0" fillId="2" borderId="0" xfId="0" applyFill="1" applyAlignment="1">
      <alignment horizontal="center" vertical="center"/>
    </xf>
    <xf numFmtId="0" fontId="0" fillId="0" borderId="3" xfId="0" applyBorder="1" applyAlignment="1">
      <alignment horizontal="center" vertical="center" wrapText="1"/>
    </xf>
    <xf numFmtId="0" fontId="0" fillId="0" borderId="6" xfId="0" applyBorder="1" applyAlignment="1">
      <alignment horizontal="center" vertical="center"/>
    </xf>
    <xf numFmtId="0" fontId="1" fillId="5" borderId="1" xfId="0" applyFont="1" applyFill="1" applyBorder="1" applyAlignment="1">
      <alignment horizontal="center"/>
    </xf>
    <xf numFmtId="0" fontId="1" fillId="5" borderId="11" xfId="0" applyFont="1" applyFill="1" applyBorder="1" applyAlignment="1">
      <alignment horizontal="center"/>
    </xf>
    <xf numFmtId="0" fontId="1" fillId="5" borderId="9" xfId="0" applyFont="1" applyFill="1" applyBorder="1" applyAlignment="1">
      <alignment horizontal="center"/>
    </xf>
    <xf numFmtId="0" fontId="1" fillId="5" borderId="10" xfId="0" applyFont="1" applyFill="1" applyBorder="1" applyAlignment="1">
      <alignment horizontal="center"/>
    </xf>
    <xf numFmtId="0" fontId="0" fillId="5" borderId="0" xfId="0" applyFill="1" applyAlignment="1">
      <alignment horizontal="center"/>
    </xf>
    <xf numFmtId="0" fontId="1" fillId="5" borderId="0" xfId="0" applyFont="1" applyFill="1" applyAlignment="1">
      <alignment horizontal="center"/>
    </xf>
    <xf numFmtId="0" fontId="1" fillId="0" borderId="11" xfId="0" applyFont="1" applyBorder="1" applyAlignment="1">
      <alignment horizontal="center" vertical="center"/>
    </xf>
    <xf numFmtId="164" fontId="0" fillId="0" borderId="12" xfId="0" applyNumberFormat="1" applyBorder="1" applyAlignment="1">
      <alignment horizontal="center"/>
    </xf>
    <xf numFmtId="164" fontId="0" fillId="0" borderId="3" xfId="0" applyNumberFormat="1" applyBorder="1" applyAlignment="1">
      <alignment horizontal="center"/>
    </xf>
    <xf numFmtId="164" fontId="0" fillId="0" borderId="4" xfId="0" applyNumberFormat="1" applyBorder="1" applyAlignment="1">
      <alignment horizontal="center"/>
    </xf>
    <xf numFmtId="0" fontId="1" fillId="0" borderId="3" xfId="0" applyFont="1" applyBorder="1" applyAlignment="1">
      <alignment horizontal="center"/>
    </xf>
    <xf numFmtId="0" fontId="0" fillId="0" borderId="3" xfId="0"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11" borderId="12" xfId="0" applyFill="1" applyBorder="1" applyAlignment="1">
      <alignment horizontal="center"/>
    </xf>
    <xf numFmtId="164" fontId="0" fillId="0" borderId="13" xfId="0" applyNumberFormat="1" applyBorder="1" applyAlignment="1">
      <alignment horizontal="center"/>
    </xf>
    <xf numFmtId="164" fontId="0" fillId="0" borderId="5" xfId="0" applyNumberFormat="1" applyBorder="1" applyAlignment="1">
      <alignment horizontal="center"/>
    </xf>
    <xf numFmtId="0" fontId="0" fillId="0" borderId="5" xfId="0" applyBorder="1" applyAlignment="1">
      <alignment horizontal="center"/>
    </xf>
    <xf numFmtId="0" fontId="1" fillId="0" borderId="5" xfId="0" applyFont="1" applyBorder="1" applyAlignment="1">
      <alignment horizontal="center"/>
    </xf>
    <xf numFmtId="0" fontId="0" fillId="0" borderId="4" xfId="0" applyBorder="1" applyAlignment="1">
      <alignment horizontal="center"/>
    </xf>
    <xf numFmtId="0" fontId="0" fillId="11" borderId="13" xfId="0" applyFill="1" applyBorder="1" applyAlignment="1">
      <alignment horizontal="center"/>
    </xf>
    <xf numFmtId="164" fontId="0" fillId="0" borderId="8" xfId="0" applyNumberFormat="1" applyBorder="1" applyAlignment="1">
      <alignment horizontal="center"/>
    </xf>
    <xf numFmtId="164" fontId="0" fillId="0" borderId="6" xfId="0" applyNumberFormat="1" applyBorder="1" applyAlignment="1">
      <alignment horizontal="center"/>
    </xf>
    <xf numFmtId="0" fontId="0" fillId="0" borderId="6" xfId="0" applyBorder="1" applyAlignment="1">
      <alignment horizontal="center"/>
    </xf>
    <xf numFmtId="0" fontId="0" fillId="11" borderId="14" xfId="0" applyFill="1" applyBorder="1" applyAlignment="1">
      <alignment horizontal="center"/>
    </xf>
    <xf numFmtId="164" fontId="0" fillId="0" borderId="0" xfId="0" applyNumberFormat="1" applyAlignment="1">
      <alignment horizontal="center"/>
    </xf>
    <xf numFmtId="164" fontId="0" fillId="0" borderId="14" xfId="0" applyNumberFormat="1" applyBorder="1" applyAlignment="1">
      <alignment horizontal="center"/>
    </xf>
    <xf numFmtId="0" fontId="0" fillId="0" borderId="7" xfId="0" applyBorder="1" applyAlignment="1">
      <alignment horizontal="center"/>
    </xf>
    <xf numFmtId="0" fontId="0" fillId="0" borderId="1" xfId="0" applyBorder="1" applyAlignment="1">
      <alignment horizontal="center" vertical="center"/>
    </xf>
    <xf numFmtId="0" fontId="1" fillId="5" borderId="12" xfId="0" applyFont="1" applyFill="1" applyBorder="1"/>
    <xf numFmtId="165" fontId="0" fillId="0" borderId="0" xfId="0" applyNumberFormat="1"/>
    <xf numFmtId="164" fontId="0" fillId="0" borderId="0" xfId="0" applyNumberFormat="1"/>
    <xf numFmtId="166" fontId="0" fillId="0" borderId="14" xfId="0" applyNumberFormat="1" applyBorder="1" applyAlignment="1">
      <alignment horizontal="center" vertical="center" wrapText="1"/>
    </xf>
    <xf numFmtId="0" fontId="10" fillId="5"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165" fontId="0" fillId="0" borderId="12" xfId="0" applyNumberFormat="1" applyBorder="1" applyAlignment="1">
      <alignment horizontal="center" vertical="center"/>
    </xf>
    <xf numFmtId="0" fontId="0" fillId="0" borderId="5" xfId="0" applyBorder="1" applyAlignment="1">
      <alignment horizontal="center" vertical="center"/>
    </xf>
    <xf numFmtId="164" fontId="0" fillId="0" borderId="5" xfId="0" applyNumberFormat="1" applyBorder="1" applyAlignment="1">
      <alignment horizontal="center" vertical="center"/>
    </xf>
    <xf numFmtId="164" fontId="0" fillId="0" borderId="8" xfId="0" applyNumberFormat="1" applyBorder="1" applyAlignment="1">
      <alignment horizontal="center" vertical="center"/>
    </xf>
    <xf numFmtId="0" fontId="1" fillId="5" borderId="12" xfId="0" applyFont="1" applyFill="1" applyBorder="1" applyAlignment="1">
      <alignment horizontal="center"/>
    </xf>
    <xf numFmtId="0" fontId="1" fillId="5" borderId="5" xfId="0" applyFont="1" applyFill="1" applyBorder="1" applyAlignment="1">
      <alignment horizontal="center"/>
    </xf>
    <xf numFmtId="0" fontId="1" fillId="5" borderId="2" xfId="0" applyFont="1" applyFill="1" applyBorder="1"/>
    <xf numFmtId="0" fontId="2" fillId="0" borderId="4" xfId="0" applyFont="1" applyBorder="1"/>
    <xf numFmtId="0" fontId="9" fillId="0" borderId="0" xfId="0" applyFont="1" applyAlignment="1">
      <alignment wrapText="1"/>
    </xf>
    <xf numFmtId="0" fontId="2" fillId="0" borderId="6" xfId="0" applyFont="1" applyBorder="1"/>
    <xf numFmtId="166" fontId="9" fillId="0" borderId="12" xfId="0" applyNumberFormat="1" applyFont="1" applyBorder="1" applyAlignment="1">
      <alignment wrapText="1"/>
    </xf>
    <xf numFmtId="0" fontId="9" fillId="0" borderId="13" xfId="0" applyFont="1" applyBorder="1" applyAlignment="1">
      <alignment wrapText="1"/>
    </xf>
    <xf numFmtId="165" fontId="0" fillId="0" borderId="14" xfId="0" applyNumberFormat="1" applyBorder="1"/>
    <xf numFmtId="164" fontId="0" fillId="0" borderId="12" xfId="0" applyNumberFormat="1" applyBorder="1"/>
    <xf numFmtId="164" fontId="0" fillId="0" borderId="13" xfId="0" applyNumberFormat="1" applyBorder="1"/>
    <xf numFmtId="164" fontId="0" fillId="0" borderId="14" xfId="0" applyNumberFormat="1" applyBorder="1"/>
    <xf numFmtId="164" fontId="0" fillId="0" borderId="1" xfId="0" applyNumberFormat="1" applyBorder="1"/>
    <xf numFmtId="164" fontId="0" fillId="0" borderId="3" xfId="0" applyNumberFormat="1" applyBorder="1"/>
    <xf numFmtId="0" fontId="10" fillId="5" borderId="14" xfId="0" applyFont="1" applyFill="1" applyBorder="1" applyAlignment="1">
      <alignment horizontal="center" vertical="center" wrapText="1"/>
    </xf>
    <xf numFmtId="0" fontId="1" fillId="5" borderId="11" xfId="0" applyFont="1" applyFill="1" applyBorder="1"/>
    <xf numFmtId="0" fontId="0" fillId="10" borderId="9" xfId="0" applyFill="1" applyBorder="1" applyAlignment="1">
      <alignment horizontal="center" vertical="center" wrapText="1"/>
    </xf>
    <xf numFmtId="165" fontId="0" fillId="0" borderId="13" xfId="0" applyNumberFormat="1" applyBorder="1"/>
    <xf numFmtId="0" fontId="1" fillId="10" borderId="2" xfId="0" applyFont="1" applyFill="1" applyBorder="1"/>
    <xf numFmtId="0" fontId="1" fillId="10" borderId="4" xfId="0" applyFont="1" applyFill="1" applyBorder="1"/>
    <xf numFmtId="165" fontId="0" fillId="0" borderId="13" xfId="0" applyNumberFormat="1" applyBorder="1" applyAlignment="1">
      <alignment horizontal="center" vertical="center"/>
    </xf>
    <xf numFmtId="165" fontId="0" fillId="0" borderId="14" xfId="0" applyNumberFormat="1" applyBorder="1" applyAlignment="1">
      <alignment horizontal="center" vertical="center"/>
    </xf>
    <xf numFmtId="0" fontId="1" fillId="5" borderId="3" xfId="0" applyFont="1" applyFill="1" applyBorder="1" applyAlignment="1">
      <alignment horizontal="center"/>
    </xf>
    <xf numFmtId="0" fontId="1" fillId="0" borderId="14" xfId="0" applyFont="1" applyBorder="1" applyAlignment="1">
      <alignment horizontal="center" vertical="center"/>
    </xf>
    <xf numFmtId="0" fontId="1" fillId="0" borderId="14" xfId="0" applyFont="1" applyBorder="1" applyAlignment="1">
      <alignment horizontal="center" vertical="center" wrapText="1"/>
    </xf>
    <xf numFmtId="0" fontId="1" fillId="0" borderId="8" xfId="0" applyFont="1" applyBorder="1" applyAlignment="1">
      <alignment horizontal="center" vertical="center" wrapText="1"/>
    </xf>
    <xf numFmtId="0" fontId="10" fillId="0" borderId="0" xfId="0" applyFont="1" applyAlignment="1">
      <alignment wrapText="1"/>
    </xf>
    <xf numFmtId="0" fontId="0" fillId="2" borderId="14" xfId="0" applyFill="1" applyBorder="1" applyAlignment="1">
      <alignment horizontal="center" vertical="center" wrapText="1"/>
    </xf>
    <xf numFmtId="0" fontId="0" fillId="2" borderId="13" xfId="0" applyFill="1" applyBorder="1" applyAlignment="1">
      <alignment horizontal="center" vertical="center" wrapText="1"/>
    </xf>
    <xf numFmtId="166" fontId="0" fillId="0" borderId="1" xfId="0" applyNumberFormat="1" applyBorder="1" applyAlignment="1">
      <alignment horizontal="center" vertical="center" wrapText="1"/>
    </xf>
    <xf numFmtId="166" fontId="0" fillId="0" borderId="0" xfId="0" applyNumberFormat="1" applyAlignment="1">
      <alignment horizontal="center" vertical="center" wrapText="1"/>
    </xf>
    <xf numFmtId="0" fontId="11" fillId="2" borderId="0" xfId="0" applyFont="1" applyFill="1"/>
    <xf numFmtId="164" fontId="0" fillId="0" borderId="18" xfId="0" applyNumberFormat="1" applyBorder="1" applyAlignment="1">
      <alignment horizontal="center"/>
    </xf>
    <xf numFmtId="164" fontId="0" fillId="0" borderId="21" xfId="0" applyNumberFormat="1" applyBorder="1" applyAlignment="1">
      <alignment horizontal="center"/>
    </xf>
    <xf numFmtId="164" fontId="0" fillId="0" borderId="17" xfId="0" applyNumberFormat="1" applyBorder="1" applyAlignment="1">
      <alignment horizontal="center"/>
    </xf>
    <xf numFmtId="164" fontId="0" fillId="0" borderId="22" xfId="0" applyNumberFormat="1" applyBorder="1" applyAlignment="1">
      <alignment horizontal="center"/>
    </xf>
    <xf numFmtId="164" fontId="9" fillId="0" borderId="18" xfId="0" applyNumberFormat="1" applyFont="1" applyBorder="1" applyAlignment="1">
      <alignment horizontal="center"/>
    </xf>
    <xf numFmtId="164" fontId="0" fillId="0" borderId="19" xfId="0" applyNumberFormat="1" applyBorder="1" applyAlignment="1">
      <alignment horizontal="center"/>
    </xf>
    <xf numFmtId="164" fontId="0" fillId="0" borderId="23" xfId="0" applyNumberFormat="1" applyBorder="1" applyAlignment="1">
      <alignment horizontal="center"/>
    </xf>
    <xf numFmtId="0" fontId="0" fillId="0" borderId="0" xfId="0" quotePrefix="1" applyAlignment="1">
      <alignment horizontal="center"/>
    </xf>
    <xf numFmtId="2" fontId="0" fillId="0" borderId="1" xfId="0" applyNumberFormat="1" applyBorder="1" applyAlignment="1">
      <alignment horizontal="center" vertical="center" wrapText="1"/>
    </xf>
    <xf numFmtId="2" fontId="0" fillId="0" borderId="14" xfId="0" applyNumberFormat="1" applyBorder="1" applyAlignment="1">
      <alignment horizontal="center" vertical="center" wrapText="1"/>
    </xf>
    <xf numFmtId="2" fontId="0" fillId="0" borderId="11" xfId="0" applyNumberFormat="1" applyBorder="1" applyAlignment="1">
      <alignment horizontal="center" vertical="center"/>
    </xf>
    <xf numFmtId="2" fontId="0" fillId="0" borderId="5" xfId="0" applyNumberFormat="1" applyBorder="1" applyAlignment="1">
      <alignment horizontal="center" vertical="center"/>
    </xf>
    <xf numFmtId="2" fontId="0" fillId="0" borderId="12" xfId="0" applyNumberFormat="1" applyBorder="1" applyAlignment="1">
      <alignment horizontal="center" vertical="center" wrapText="1"/>
    </xf>
    <xf numFmtId="2" fontId="0" fillId="0" borderId="13" xfId="0" applyNumberFormat="1" applyBorder="1" applyAlignment="1">
      <alignment horizontal="center" vertical="center" wrapText="1"/>
    </xf>
    <xf numFmtId="2" fontId="0" fillId="2" borderId="8" xfId="0" applyNumberFormat="1" applyFill="1" applyBorder="1" applyAlignment="1">
      <alignment horizontal="center" vertical="center" wrapText="1"/>
    </xf>
    <xf numFmtId="0" fontId="0" fillId="0" borderId="8" xfId="0" applyBorder="1" applyAlignment="1">
      <alignment horizontal="center" vertical="center"/>
    </xf>
    <xf numFmtId="164" fontId="0" fillId="0" borderId="4" xfId="0" applyNumberFormat="1" applyBorder="1" applyAlignment="1">
      <alignment horizontal="center" vertical="center"/>
    </xf>
    <xf numFmtId="164" fontId="0" fillId="0" borderId="13" xfId="0" applyNumberFormat="1" applyBorder="1" applyAlignment="1">
      <alignment horizontal="center" vertical="center"/>
    </xf>
    <xf numFmtId="165" fontId="0" fillId="0" borderId="0" xfId="0" applyNumberFormat="1" applyAlignment="1">
      <alignment horizontal="center"/>
    </xf>
    <xf numFmtId="2" fontId="0" fillId="0" borderId="0" xfId="0" applyNumberFormat="1" applyAlignment="1">
      <alignment horizontal="center" vertical="center"/>
    </xf>
    <xf numFmtId="2" fontId="1" fillId="0" borderId="0" xfId="0" applyNumberFormat="1" applyFont="1" applyAlignment="1">
      <alignment horizontal="center" vertical="center"/>
    </xf>
    <xf numFmtId="165" fontId="0" fillId="0" borderId="5" xfId="0" applyNumberFormat="1" applyBorder="1"/>
    <xf numFmtId="164" fontId="0" fillId="0" borderId="6" xfId="0" applyNumberFormat="1" applyBorder="1" applyAlignment="1">
      <alignment horizontal="center" vertical="center"/>
    </xf>
    <xf numFmtId="164" fontId="0" fillId="0" borderId="14" xfId="0" applyNumberFormat="1" applyBorder="1" applyAlignment="1">
      <alignment horizontal="center" vertical="center"/>
    </xf>
    <xf numFmtId="165" fontId="0" fillId="0" borderId="8" xfId="0" applyNumberFormat="1" applyBorder="1"/>
    <xf numFmtId="2" fontId="0" fillId="0" borderId="8" xfId="0" applyNumberFormat="1" applyBorder="1" applyAlignment="1">
      <alignment horizontal="center" vertical="center"/>
    </xf>
    <xf numFmtId="164" fontId="9" fillId="0" borderId="21" xfId="0" applyNumberFormat="1" applyFont="1" applyBorder="1" applyAlignment="1">
      <alignment horizontal="center"/>
    </xf>
    <xf numFmtId="164" fontId="9" fillId="0" borderId="13" xfId="0" applyNumberFormat="1" applyFont="1" applyBorder="1" applyAlignment="1">
      <alignment horizontal="center"/>
    </xf>
    <xf numFmtId="164" fontId="9" fillId="0" borderId="5" xfId="0" applyNumberFormat="1" applyFont="1" applyBorder="1" applyAlignment="1">
      <alignment horizontal="center"/>
    </xf>
    <xf numFmtId="164" fontId="9" fillId="0" borderId="4" xfId="0" applyNumberFormat="1" applyFont="1" applyBorder="1" applyAlignment="1">
      <alignment horizontal="center"/>
    </xf>
    <xf numFmtId="0" fontId="9" fillId="0" borderId="5" xfId="0" applyFont="1" applyBorder="1" applyAlignment="1">
      <alignment horizontal="center"/>
    </xf>
    <xf numFmtId="0" fontId="9" fillId="0" borderId="0" xfId="0" applyFont="1" applyAlignment="1">
      <alignment horizontal="center"/>
    </xf>
    <xf numFmtId="0" fontId="9" fillId="0" borderId="4" xfId="0" applyFont="1" applyBorder="1" applyAlignment="1">
      <alignment horizontal="center"/>
    </xf>
    <xf numFmtId="0" fontId="9" fillId="0" borderId="13" xfId="0" applyFont="1" applyBorder="1" applyAlignment="1">
      <alignment horizontal="center"/>
    </xf>
    <xf numFmtId="0" fontId="9" fillId="0" borderId="12" xfId="0" applyFont="1" applyBorder="1" applyAlignment="1">
      <alignment horizontal="center"/>
    </xf>
    <xf numFmtId="0" fontId="9" fillId="0" borderId="2" xfId="0" applyFont="1" applyBorder="1" applyAlignment="1">
      <alignment horizontal="center"/>
    </xf>
    <xf numFmtId="0" fontId="9" fillId="0" borderId="3" xfId="0" applyFont="1" applyBorder="1" applyAlignment="1">
      <alignment horizontal="center"/>
    </xf>
    <xf numFmtId="2" fontId="0" fillId="0" borderId="8" xfId="0" applyNumberFormat="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9" xfId="0" applyBorder="1" applyAlignment="1">
      <alignment horizontal="center" vertical="center" wrapText="1"/>
    </xf>
    <xf numFmtId="0" fontId="0" fillId="0" borderId="1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2" borderId="8" xfId="0" applyFill="1" applyBorder="1" applyAlignment="1">
      <alignment horizontal="center" vertical="center" wrapText="1"/>
    </xf>
    <xf numFmtId="164" fontId="0" fillId="0" borderId="12" xfId="0" applyNumberFormat="1" applyBorder="1" applyAlignment="1">
      <alignment horizontal="center" vertical="center"/>
    </xf>
    <xf numFmtId="2" fontId="0" fillId="0" borderId="0" xfId="0" applyNumberFormat="1"/>
    <xf numFmtId="2" fontId="0" fillId="0" borderId="12" xfId="0" applyNumberFormat="1" applyBorder="1"/>
    <xf numFmtId="2" fontId="0" fillId="0" borderId="1" xfId="0" applyNumberFormat="1" applyBorder="1"/>
    <xf numFmtId="2" fontId="1" fillId="2" borderId="0" xfId="0" applyNumberFormat="1" applyFont="1" applyFill="1" applyAlignment="1">
      <alignment horizontal="center" vertical="center"/>
    </xf>
    <xf numFmtId="0" fontId="0" fillId="2" borderId="0" xfId="0" applyFill="1" applyAlignment="1">
      <alignment horizontal="center"/>
    </xf>
    <xf numFmtId="2" fontId="0" fillId="0" borderId="5" xfId="0" applyNumberFormat="1" applyBorder="1" applyAlignment="1">
      <alignment horizontal="center" vertical="center" wrapText="1"/>
    </xf>
    <xf numFmtId="0" fontId="1"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1" fontId="9" fillId="0" borderId="12" xfId="0" applyNumberFormat="1" applyFont="1" applyBorder="1" applyAlignment="1">
      <alignment horizontal="center"/>
    </xf>
    <xf numFmtId="0" fontId="13" fillId="0" borderId="1" xfId="0" applyFont="1" applyBorder="1" applyAlignment="1">
      <alignment horizontal="center" vertical="center" wrapText="1"/>
    </xf>
    <xf numFmtId="0" fontId="13" fillId="0" borderId="14" xfId="0" applyFont="1" applyBorder="1" applyAlignment="1">
      <alignment horizontal="center" vertical="center" wrapText="1"/>
    </xf>
    <xf numFmtId="0" fontId="14" fillId="0" borderId="6" xfId="0" applyFont="1" applyBorder="1" applyAlignment="1">
      <alignment horizontal="center" vertical="center"/>
    </xf>
    <xf numFmtId="0" fontId="14" fillId="0" borderId="8" xfId="0" applyFont="1" applyBorder="1" applyAlignment="1">
      <alignment horizontal="center" vertical="center"/>
    </xf>
    <xf numFmtId="0" fontId="16" fillId="0" borderId="1" xfId="0" applyFont="1" applyBorder="1" applyAlignment="1">
      <alignment horizontal="center" vertical="center" wrapText="1"/>
    </xf>
    <xf numFmtId="0" fontId="16" fillId="0" borderId="1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8" xfId="0" applyFont="1" applyBorder="1" applyAlignment="1">
      <alignment horizontal="center" vertical="center" wrapText="1"/>
    </xf>
    <xf numFmtId="0" fontId="1" fillId="5" borderId="9" xfId="0" applyFont="1" applyFill="1" applyBorder="1" applyAlignment="1">
      <alignment horizontal="center" vertical="center"/>
    </xf>
    <xf numFmtId="0" fontId="1" fillId="5" borderId="0" xfId="0" applyFont="1" applyFill="1" applyAlignment="1">
      <alignment horizontal="center" vertical="center"/>
    </xf>
    <xf numFmtId="0" fontId="0" fillId="0" borderId="20" xfId="0" applyBorder="1" applyAlignment="1">
      <alignment horizontal="center" vertical="center"/>
    </xf>
    <xf numFmtId="0" fontId="1" fillId="5" borderId="12" xfId="0" applyFont="1" applyFill="1" applyBorder="1" applyAlignment="1">
      <alignment horizontal="center" vertical="center"/>
    </xf>
    <xf numFmtId="0" fontId="1" fillId="5" borderId="1" xfId="0" applyFont="1" applyFill="1" applyBorder="1" applyAlignment="1">
      <alignment horizontal="center" vertical="center"/>
    </xf>
    <xf numFmtId="0" fontId="1" fillId="5" borderId="3" xfId="0" applyFont="1" applyFill="1" applyBorder="1" applyAlignment="1">
      <alignment horizontal="center" vertical="center"/>
    </xf>
    <xf numFmtId="0" fontId="1" fillId="2" borderId="0" xfId="0" applyFont="1" applyFill="1" applyAlignment="1">
      <alignment horizontal="center" vertical="center"/>
    </xf>
    <xf numFmtId="2" fontId="0" fillId="0" borderId="0" xfId="0" applyNumberFormat="1" applyAlignment="1">
      <alignment horizontal="center"/>
    </xf>
    <xf numFmtId="0" fontId="0" fillId="0" borderId="24" xfId="0" applyBorder="1" applyAlignment="1">
      <alignment horizontal="center" vertical="center"/>
    </xf>
    <xf numFmtId="2" fontId="1" fillId="9" borderId="0" xfId="0" applyNumberFormat="1" applyFont="1" applyFill="1" applyAlignment="1">
      <alignment horizontal="center"/>
    </xf>
    <xf numFmtId="0" fontId="0" fillId="0" borderId="20" xfId="0" applyBorder="1" applyAlignment="1">
      <alignment vertical="center"/>
    </xf>
    <xf numFmtId="0" fontId="0" fillId="12" borderId="11" xfId="0" applyFill="1" applyBorder="1" applyAlignment="1">
      <alignment vertical="center"/>
    </xf>
    <xf numFmtId="2" fontId="1" fillId="9" borderId="0" xfId="0" applyNumberFormat="1" applyFont="1" applyFill="1"/>
    <xf numFmtId="0" fontId="0" fillId="0" borderId="9" xfId="0" applyBorder="1" applyAlignment="1">
      <alignment vertical="center"/>
    </xf>
    <xf numFmtId="0" fontId="0" fillId="2" borderId="24" xfId="0" applyFill="1" applyBorder="1" applyAlignment="1">
      <alignment horizontal="center" vertical="center"/>
    </xf>
    <xf numFmtId="0" fontId="0" fillId="12" borderId="0" xfId="0" applyFill="1" applyAlignment="1">
      <alignment horizontal="center" vertical="center"/>
    </xf>
    <xf numFmtId="0" fontId="0" fillId="13" borderId="24" xfId="0" applyFill="1" applyBorder="1" applyAlignment="1">
      <alignment horizontal="center" vertical="center"/>
    </xf>
    <xf numFmtId="0" fontId="18" fillId="0" borderId="10" xfId="0" applyFont="1" applyBorder="1"/>
    <xf numFmtId="0" fontId="18" fillId="0" borderId="11" xfId="0" applyFont="1" applyBorder="1"/>
    <xf numFmtId="0" fontId="0" fillId="2" borderId="25" xfId="0" applyFill="1" applyBorder="1" applyAlignment="1">
      <alignment horizontal="center" vertical="center"/>
    </xf>
    <xf numFmtId="0" fontId="0" fillId="13" borderId="25" xfId="0" applyFill="1" applyBorder="1" applyAlignment="1">
      <alignment horizontal="center" vertical="center"/>
    </xf>
    <xf numFmtId="164" fontId="0" fillId="0" borderId="20" xfId="0" applyNumberFormat="1" applyBorder="1" applyAlignment="1">
      <alignment horizontal="center" vertical="center"/>
    </xf>
    <xf numFmtId="164" fontId="0" fillId="0" borderId="3" xfId="0" applyNumberFormat="1" applyBorder="1" applyAlignment="1">
      <alignment horizontal="center" vertical="center"/>
    </xf>
    <xf numFmtId="164" fontId="0" fillId="0" borderId="0" xfId="0" applyNumberFormat="1" applyAlignment="1">
      <alignment horizontal="center" vertical="center"/>
    </xf>
    <xf numFmtId="164" fontId="0" fillId="0" borderId="7" xfId="0" applyNumberFormat="1" applyBorder="1" applyAlignment="1">
      <alignment horizontal="center" vertical="center"/>
    </xf>
    <xf numFmtId="2" fontId="0" fillId="0" borderId="13" xfId="0" applyNumberFormat="1" applyBorder="1" applyAlignment="1">
      <alignment horizontal="center" vertical="center"/>
    </xf>
    <xf numFmtId="2" fontId="0" fillId="0" borderId="14" xfId="0" applyNumberFormat="1" applyBorder="1" applyAlignment="1">
      <alignment horizontal="center" vertical="center"/>
    </xf>
    <xf numFmtId="2" fontId="0" fillId="0" borderId="12" xfId="0" applyNumberFormat="1" applyBorder="1" applyAlignment="1">
      <alignment horizontal="center" vertic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0" borderId="9" xfId="0" applyFont="1" applyBorder="1" applyAlignment="1">
      <alignment horizontal="center"/>
    </xf>
    <xf numFmtId="0" fontId="1" fillId="0" borderId="11" xfId="0" applyFont="1" applyBorder="1" applyAlignment="1">
      <alignment horizontal="center"/>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0" fillId="0" borderId="3"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20"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0" borderId="20" xfId="0" applyBorder="1" applyAlignment="1">
      <alignment horizontal="center"/>
    </xf>
    <xf numFmtId="0" fontId="0" fillId="0" borderId="0" xfId="0" applyAlignment="1">
      <alignment horizontal="center"/>
    </xf>
    <xf numFmtId="0" fontId="0" fillId="0" borderId="0" xfId="0" applyAlignment="1">
      <alignment horizontal="center" vertical="center" wrapText="1"/>
    </xf>
    <xf numFmtId="0" fontId="0" fillId="0" borderId="0" xfId="0" applyAlignment="1">
      <alignment horizontal="center" vertical="center"/>
    </xf>
    <xf numFmtId="0" fontId="0" fillId="0" borderId="13" xfId="0" applyBorder="1" applyAlignment="1">
      <alignment horizontal="center" vertical="center" wrapText="1"/>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4" xfId="0" applyBorder="1" applyAlignment="1">
      <alignment horizontal="center" vertical="center" wrapText="1"/>
    </xf>
    <xf numFmtId="0" fontId="0" fillId="4" borderId="2" xfId="0" applyFill="1" applyBorder="1" applyAlignment="1">
      <alignment horizontal="center"/>
    </xf>
    <xf numFmtId="0" fontId="0" fillId="4" borderId="3" xfId="0" applyFill="1" applyBorder="1" applyAlignment="1">
      <alignment horizontal="center"/>
    </xf>
    <xf numFmtId="0" fontId="0" fillId="6" borderId="2" xfId="0" applyFill="1" applyBorder="1" applyAlignment="1">
      <alignment horizontal="center"/>
    </xf>
    <xf numFmtId="0" fontId="0" fillId="6" borderId="3" xfId="0" applyFill="1" applyBorder="1" applyAlignment="1">
      <alignment horizontal="center"/>
    </xf>
    <xf numFmtId="0" fontId="0" fillId="0" borderId="4" xfId="0" applyBorder="1" applyAlignment="1">
      <alignment horizontal="center" vertical="center"/>
    </xf>
    <xf numFmtId="0" fontId="0" fillId="0" borderId="5" xfId="0" applyBorder="1" applyAlignment="1">
      <alignment horizontal="center" vertical="center" wrapText="1"/>
    </xf>
    <xf numFmtId="0" fontId="0" fillId="5" borderId="9" xfId="0" applyFill="1" applyBorder="1" applyAlignment="1">
      <alignment horizontal="center" vertical="center"/>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1" fillId="5" borderId="6"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0" xfId="0" applyFont="1" applyFill="1" applyAlignment="1">
      <alignment horizontal="center" vertical="center" wrapText="1"/>
    </xf>
    <xf numFmtId="0" fontId="11" fillId="2" borderId="0" xfId="0" applyFont="1" applyFill="1" applyAlignment="1">
      <alignment horizontal="center"/>
    </xf>
    <xf numFmtId="0" fontId="0" fillId="2" borderId="5" xfId="0" applyFill="1" applyBorder="1" applyAlignment="1">
      <alignment horizontal="center" vertical="center" wrapText="1"/>
    </xf>
    <xf numFmtId="0" fontId="10" fillId="5" borderId="9" xfId="0" applyFont="1" applyFill="1" applyBorder="1" applyAlignment="1">
      <alignment horizontal="center" wrapText="1"/>
    </xf>
    <xf numFmtId="0" fontId="10" fillId="5" borderId="11" xfId="0" applyFont="1" applyFill="1" applyBorder="1" applyAlignment="1">
      <alignment horizontal="center" wrapText="1"/>
    </xf>
    <xf numFmtId="0" fontId="10" fillId="5" borderId="6" xfId="0" applyFont="1" applyFill="1" applyBorder="1" applyAlignment="1">
      <alignment horizontal="center" vertical="center" wrapText="1"/>
    </xf>
    <xf numFmtId="0" fontId="10" fillId="5" borderId="7"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0" xfId="0" applyFont="1" applyFill="1" applyAlignment="1">
      <alignment horizontal="center" vertical="center" wrapText="1"/>
    </xf>
    <xf numFmtId="0" fontId="10" fillId="5" borderId="9" xfId="0" applyFont="1" applyFill="1" applyBorder="1" applyAlignment="1">
      <alignment horizontal="center" vertical="center" wrapText="1"/>
    </xf>
    <xf numFmtId="0" fontId="10" fillId="5" borderId="10" xfId="0" applyFont="1" applyFill="1" applyBorder="1" applyAlignment="1">
      <alignment horizontal="center" vertical="center" wrapText="1"/>
    </xf>
    <xf numFmtId="0" fontId="10" fillId="5" borderId="11" xfId="0" applyFont="1" applyFill="1" applyBorder="1" applyAlignment="1">
      <alignment horizontal="center" vertical="center" wrapText="1"/>
    </xf>
    <xf numFmtId="0" fontId="1" fillId="5" borderId="9" xfId="0" applyFont="1" applyFill="1" applyBorder="1" applyAlignment="1">
      <alignment horizontal="center" vertical="center"/>
    </xf>
    <xf numFmtId="0" fontId="1" fillId="5" borderId="10" xfId="0" applyFont="1" applyFill="1" applyBorder="1" applyAlignment="1">
      <alignment horizontal="center" vertical="center"/>
    </xf>
    <xf numFmtId="0" fontId="1" fillId="5" borderId="11" xfId="0" applyFont="1" applyFill="1" applyBorder="1" applyAlignment="1">
      <alignment horizontal="center" vertical="center"/>
    </xf>
    <xf numFmtId="0" fontId="10" fillId="5" borderId="2" xfId="0" applyFont="1" applyFill="1" applyBorder="1" applyAlignment="1">
      <alignment horizontal="center" vertical="center" wrapText="1"/>
    </xf>
    <xf numFmtId="0" fontId="10" fillId="5" borderId="20"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 fillId="5" borderId="9" xfId="0" applyFont="1" applyFill="1" applyBorder="1" applyAlignment="1">
      <alignment horizontal="center"/>
    </xf>
    <xf numFmtId="0" fontId="1" fillId="5" borderId="11" xfId="0" applyFont="1" applyFill="1" applyBorder="1" applyAlignment="1">
      <alignment horizontal="center"/>
    </xf>
    <xf numFmtId="0" fontId="1" fillId="5" borderId="10" xfId="0" applyFont="1" applyFill="1" applyBorder="1" applyAlignment="1">
      <alignment horizontal="center"/>
    </xf>
    <xf numFmtId="0" fontId="1" fillId="5" borderId="4" xfId="0" applyFont="1" applyFill="1" applyBorder="1" applyAlignment="1">
      <alignment horizontal="center" vertical="center"/>
    </xf>
    <xf numFmtId="0" fontId="1" fillId="5" borderId="0" xfId="0" applyFont="1" applyFill="1" applyAlignment="1">
      <alignment horizontal="center" vertical="center"/>
    </xf>
    <xf numFmtId="0" fontId="0" fillId="5" borderId="9" xfId="0" applyFill="1" applyBorder="1" applyAlignment="1">
      <alignment horizontal="center"/>
    </xf>
    <xf numFmtId="0" fontId="0" fillId="5" borderId="10" xfId="0" applyFill="1" applyBorder="1" applyAlignment="1">
      <alignment horizontal="center"/>
    </xf>
    <xf numFmtId="0" fontId="0" fillId="5" borderId="11" xfId="0" applyFill="1" applyBorder="1" applyAlignment="1">
      <alignment horizontal="center"/>
    </xf>
    <xf numFmtId="0" fontId="9" fillId="0" borderId="9" xfId="0" applyFont="1" applyBorder="1" applyAlignment="1">
      <alignment horizontal="center"/>
    </xf>
    <xf numFmtId="0" fontId="9" fillId="0" borderId="10" xfId="0" applyFont="1" applyBorder="1" applyAlignment="1">
      <alignment horizontal="center"/>
    </xf>
    <xf numFmtId="0" fontId="9" fillId="0" borderId="11" xfId="0" applyFont="1" applyBorder="1" applyAlignment="1">
      <alignment horizontal="center"/>
    </xf>
    <xf numFmtId="0" fontId="7" fillId="5" borderId="6" xfId="0" applyFont="1" applyFill="1" applyBorder="1" applyAlignment="1">
      <alignment horizontal="center"/>
    </xf>
    <xf numFmtId="0" fontId="7" fillId="5" borderId="7" xfId="0" applyFont="1" applyFill="1" applyBorder="1" applyAlignment="1">
      <alignment horizontal="center"/>
    </xf>
    <xf numFmtId="0" fontId="1" fillId="5" borderId="7" xfId="0" applyFont="1" applyFill="1" applyBorder="1" applyAlignment="1">
      <alignment horizontal="center"/>
    </xf>
    <xf numFmtId="0" fontId="1" fillId="9" borderId="0" xfId="0" applyFont="1" applyFill="1" applyAlignment="1">
      <alignment horizontal="center" vertical="center" wrapText="1"/>
    </xf>
    <xf numFmtId="0" fontId="12" fillId="10" borderId="12" xfId="0" applyFont="1" applyFill="1" applyBorder="1" applyAlignment="1">
      <alignment horizontal="center" vertical="center" wrapText="1"/>
    </xf>
    <xf numFmtId="0" fontId="1" fillId="10" borderId="13" xfId="0" applyFont="1" applyFill="1" applyBorder="1" applyAlignment="1">
      <alignment horizontal="center" vertical="center" wrapText="1"/>
    </xf>
    <xf numFmtId="0" fontId="1" fillId="10" borderId="14" xfId="0" applyFont="1" applyFill="1" applyBorder="1" applyAlignment="1">
      <alignment horizontal="center" vertical="center" wrapText="1"/>
    </xf>
    <xf numFmtId="0" fontId="0" fillId="12" borderId="9" xfId="0" applyFill="1" applyBorder="1" applyAlignment="1">
      <alignment horizontal="center" vertical="center"/>
    </xf>
    <xf numFmtId="0" fontId="0" fillId="12" borderId="10" xfId="0" applyFill="1" applyBorder="1" applyAlignment="1">
      <alignment horizontal="center" vertical="center"/>
    </xf>
    <xf numFmtId="0" fontId="1" fillId="9" borderId="0" xfId="0" applyFont="1" applyFill="1" applyAlignment="1">
      <alignment horizontal="center" vertical="center"/>
    </xf>
    <xf numFmtId="0" fontId="18" fillId="0" borderId="9" xfId="0" applyFont="1" applyBorder="1" applyAlignment="1">
      <alignment horizontal="center"/>
    </xf>
    <xf numFmtId="0" fontId="18" fillId="0" borderId="10" xfId="0" applyFont="1" applyBorder="1" applyAlignment="1">
      <alignment horizontal="center"/>
    </xf>
    <xf numFmtId="0" fontId="0" fillId="2" borderId="9" xfId="0" applyFill="1" applyBorder="1" applyAlignment="1">
      <alignment horizontal="center" vertical="center"/>
    </xf>
    <xf numFmtId="0" fontId="0" fillId="2" borderId="10" xfId="0" applyFill="1" applyBorder="1" applyAlignment="1">
      <alignment horizontal="center" vertical="center"/>
    </xf>
    <xf numFmtId="0" fontId="0" fillId="2" borderId="11" xfId="0" applyFill="1" applyBorder="1" applyAlignment="1">
      <alignment horizontal="center" vertical="center"/>
    </xf>
    <xf numFmtId="0" fontId="12" fillId="10" borderId="2" xfId="0" applyFont="1" applyFill="1" applyBorder="1" applyAlignment="1">
      <alignment horizontal="center" vertical="center" wrapText="1"/>
    </xf>
    <xf numFmtId="0" fontId="12" fillId="10" borderId="4" xfId="0" applyFont="1" applyFill="1" applyBorder="1" applyAlignment="1">
      <alignment horizontal="center" vertical="center" wrapText="1"/>
    </xf>
    <xf numFmtId="0" fontId="12" fillId="10" borderId="6" xfId="0" applyFont="1" applyFill="1" applyBorder="1" applyAlignment="1">
      <alignment horizontal="center" vertical="center" wrapText="1"/>
    </xf>
    <xf numFmtId="0" fontId="0" fillId="12" borderId="11" xfId="0" applyFill="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cellXfs>
  <cellStyles count="2">
    <cellStyle name="Collegamento ipertestuale" xfId="1" builtinId="8"/>
    <cellStyle name="Normale" xfId="0" builtinId="0"/>
  </cellStyles>
  <dxfs count="0"/>
  <tableStyles count="0" defaultTableStyle="TableStyleMedium2" defaultPivotStyle="PivotStyleLight16"/>
  <colors>
    <mruColors>
      <color rgb="FFF6F2EE"/>
      <color rgb="FFFFD85D"/>
      <color rgb="FFCE9D6C"/>
      <color rgb="FF9966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17/10/relationships/person" Target="persons/person.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lineChart>
        <c:grouping val="standard"/>
        <c:varyColors val="0"/>
        <c:ser>
          <c:idx val="0"/>
          <c:order val="0"/>
          <c:tx>
            <c:strRef>
              <c:f>'polarization curve'!$F$45</c:f>
              <c:strCache>
                <c:ptCount val="1"/>
                <c:pt idx="0">
                  <c:v>Voltage [V]</c:v>
                </c:pt>
              </c:strCache>
            </c:strRef>
          </c:tx>
          <c:spPr>
            <a:ln w="28575" cap="rnd">
              <a:solidFill>
                <a:schemeClr val="accent1"/>
              </a:solidFill>
              <a:round/>
            </a:ln>
            <a:effectLst/>
          </c:spPr>
          <c:marker>
            <c:symbol val="none"/>
          </c:marker>
          <c:cat>
            <c:numRef>
              <c:f>'polarization curve'!$G$46:$G$72</c:f>
              <c:numCache>
                <c:formatCode>0.000</c:formatCode>
                <c:ptCount val="27"/>
                <c:pt idx="0">
                  <c:v>4.9038569132486964</c:v>
                </c:pt>
                <c:pt idx="1">
                  <c:v>9.9594646030002139</c:v>
                </c:pt>
                <c:pt idx="2">
                  <c:v>14.916769663492838</c:v>
                </c:pt>
                <c:pt idx="3">
                  <c:v>19.972578684488937</c:v>
                </c:pt>
                <c:pt idx="4">
                  <c:v>29.99098036024305</c:v>
                </c:pt>
                <c:pt idx="5">
                  <c:v>39.920806884765625</c:v>
                </c:pt>
                <c:pt idx="6">
                  <c:v>49.93438720703125</c:v>
                </c:pt>
                <c:pt idx="7">
                  <c:v>59.96682908799913</c:v>
                </c:pt>
                <c:pt idx="8">
                  <c:v>69.977442423502609</c:v>
                </c:pt>
                <c:pt idx="9">
                  <c:v>79.991764492458771</c:v>
                </c:pt>
                <c:pt idx="10">
                  <c:v>90.007781982421875</c:v>
                </c:pt>
                <c:pt idx="11">
                  <c:v>100.0213623046875</c:v>
                </c:pt>
                <c:pt idx="12">
                  <c:v>119.95326148139105</c:v>
                </c:pt>
                <c:pt idx="13">
                  <c:v>139.9993896484375</c:v>
                </c:pt>
                <c:pt idx="14">
                  <c:v>160.02665625678168</c:v>
                </c:pt>
                <c:pt idx="15">
                  <c:v>179.96597290039063</c:v>
                </c:pt>
                <c:pt idx="16">
                  <c:v>200.02365112304688</c:v>
                </c:pt>
                <c:pt idx="17">
                  <c:v>220.05081176757813</c:v>
                </c:pt>
                <c:pt idx="18">
                  <c:v>240.09344312879773</c:v>
                </c:pt>
                <c:pt idx="19">
                  <c:v>260.0425084431966</c:v>
                </c:pt>
                <c:pt idx="20">
                  <c:v>280.0603442721897</c:v>
                </c:pt>
                <c:pt idx="21">
                  <c:v>300.10223388671875</c:v>
                </c:pt>
                <c:pt idx="22">
                  <c:v>320.18025716145831</c:v>
                </c:pt>
                <c:pt idx="23">
                  <c:v>340.22649129231769</c:v>
                </c:pt>
                <c:pt idx="24">
                  <c:v>360.29815673828125</c:v>
                </c:pt>
                <c:pt idx="25">
                  <c:v>380.3253173828125</c:v>
                </c:pt>
                <c:pt idx="26">
                  <c:v>400.1617431640625</c:v>
                </c:pt>
              </c:numCache>
            </c:numRef>
          </c:cat>
          <c:val>
            <c:numRef>
              <c:f>'polarization curve'!$F$46:$F$72</c:f>
              <c:numCache>
                <c:formatCode>0.000</c:formatCode>
                <c:ptCount val="27"/>
                <c:pt idx="0">
                  <c:v>0.27960951063368056</c:v>
                </c:pt>
                <c:pt idx="1">
                  <c:v>0.32450934516059027</c:v>
                </c:pt>
                <c:pt idx="2">
                  <c:v>0.34635959201388888</c:v>
                </c:pt>
                <c:pt idx="3">
                  <c:v>0.36625230577256945</c:v>
                </c:pt>
                <c:pt idx="4">
                  <c:v>0.40051540798611113</c:v>
                </c:pt>
                <c:pt idx="5">
                  <c:v>0.43173302544487846</c:v>
                </c:pt>
                <c:pt idx="6">
                  <c:v>0.46202358669704863</c:v>
                </c:pt>
                <c:pt idx="7">
                  <c:v>0.49084404839409723</c:v>
                </c:pt>
                <c:pt idx="8">
                  <c:v>0.51875372992621527</c:v>
                </c:pt>
                <c:pt idx="9">
                  <c:v>0.5462493896484375</c:v>
                </c:pt>
                <c:pt idx="10">
                  <c:v>0.57417907714843752</c:v>
                </c:pt>
                <c:pt idx="11">
                  <c:v>0.60167558458116321</c:v>
                </c:pt>
                <c:pt idx="12">
                  <c:v>0.65303955078124998</c:v>
                </c:pt>
                <c:pt idx="13">
                  <c:v>0.70317433675130203</c:v>
                </c:pt>
                <c:pt idx="14">
                  <c:v>0.753</c:v>
                </c:pt>
                <c:pt idx="15">
                  <c:v>0.80061848958333337</c:v>
                </c:pt>
                <c:pt idx="16">
                  <c:v>0.848297119140625</c:v>
                </c:pt>
                <c:pt idx="17">
                  <c:v>0.8957672119140625</c:v>
                </c:pt>
                <c:pt idx="18">
                  <c:v>0.94285244411892366</c:v>
                </c:pt>
                <c:pt idx="19">
                  <c:v>0.98944091796875</c:v>
                </c:pt>
                <c:pt idx="20">
                  <c:v>1.0357140435112848</c:v>
                </c:pt>
                <c:pt idx="21">
                  <c:v>1.0825449625651042</c:v>
                </c:pt>
                <c:pt idx="22">
                  <c:v>1.1296963161892362</c:v>
                </c:pt>
                <c:pt idx="23">
                  <c:v>1.1764204237196181</c:v>
                </c:pt>
                <c:pt idx="24">
                  <c:v>1.2224629720052083</c:v>
                </c:pt>
                <c:pt idx="25">
                  <c:v>1.2678985595703125</c:v>
                </c:pt>
                <c:pt idx="26">
                  <c:v>1.3143954806857638</c:v>
                </c:pt>
              </c:numCache>
            </c:numRef>
          </c:val>
          <c:smooth val="0"/>
          <c:extLst>
            <c:ext xmlns:c16="http://schemas.microsoft.com/office/drawing/2014/chart" uri="{C3380CC4-5D6E-409C-BE32-E72D297353CC}">
              <c16:uniqueId val="{00000000-9EA7-4A21-86D9-73EFE7671C9D}"/>
            </c:ext>
          </c:extLst>
        </c:ser>
        <c:dLbls>
          <c:showLegendKey val="0"/>
          <c:showVal val="0"/>
          <c:showCatName val="0"/>
          <c:showSerName val="0"/>
          <c:showPercent val="0"/>
          <c:showBubbleSize val="0"/>
        </c:dLbls>
        <c:smooth val="0"/>
        <c:axId val="1293513599"/>
        <c:axId val="1722999983"/>
      </c:lineChart>
      <c:catAx>
        <c:axId val="1293513599"/>
        <c:scaling>
          <c:orientation val="minMax"/>
        </c:scaling>
        <c:delete val="0"/>
        <c:axPos val="b"/>
        <c:numFmt formatCode="0.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722999983"/>
        <c:crosses val="autoZero"/>
        <c:auto val="1"/>
        <c:lblAlgn val="ctr"/>
        <c:lblOffset val="100"/>
        <c:noMultiLvlLbl val="0"/>
      </c:catAx>
      <c:valAx>
        <c:axId val="1722999983"/>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2935135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it-IT" sz="1800" b="1">
                <a:latin typeface="Monserrat"/>
              </a:rPr>
              <a:t>LCOH results</a:t>
            </a:r>
          </a:p>
        </c:rich>
      </c:tx>
      <c:layout>
        <c:manualLayout>
          <c:xMode val="edge"/>
          <c:yMode val="edge"/>
          <c:x val="0.40909660047690632"/>
          <c:y val="2.1712612206762197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stacked"/>
        <c:varyColors val="0"/>
        <c:ser>
          <c:idx val="0"/>
          <c:order val="0"/>
          <c:tx>
            <c:strRef>
              <c:f>'contributi LCOH 0,12'!$AH$72</c:f>
              <c:strCache>
                <c:ptCount val="1"/>
                <c:pt idx="0">
                  <c:v>ELECTROLYSER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'contributi LCOH 0,12'!$AG$73:$AG$75</c:f>
              <c:strCache>
                <c:ptCount val="3"/>
                <c:pt idx="0">
                  <c:v>LCOH1</c:v>
                </c:pt>
                <c:pt idx="1">
                  <c:v>LCOH2</c:v>
                </c:pt>
                <c:pt idx="2">
                  <c:v>LCOH3</c:v>
                </c:pt>
              </c:strCache>
            </c:strRef>
          </c:cat>
          <c:val>
            <c:numRef>
              <c:f>'contributi LCOH 0,12'!$AH$73:$AH$75</c:f>
              <c:numCache>
                <c:formatCode>0.00</c:formatCode>
                <c:ptCount val="3"/>
                <c:pt idx="0">
                  <c:v>4.6691884627573357</c:v>
                </c:pt>
                <c:pt idx="1">
                  <c:v>6.9892251629993387</c:v>
                </c:pt>
                <c:pt idx="2">
                  <c:v>4.6691884627573357</c:v>
                </c:pt>
              </c:numCache>
            </c:numRef>
          </c:val>
          <c:extLst>
            <c:ext xmlns:c16="http://schemas.microsoft.com/office/drawing/2014/chart" uri="{C3380CC4-5D6E-409C-BE32-E72D297353CC}">
              <c16:uniqueId val="{00000000-F55F-4548-8E47-50C9D0FFDBEB}"/>
            </c:ext>
          </c:extLst>
        </c:ser>
        <c:ser>
          <c:idx val="1"/>
          <c:order val="1"/>
          <c:tx>
            <c:strRef>
              <c:f>'contributi LCOH 0,12'!$AI$72</c:f>
              <c:strCache>
                <c:ptCount val="1"/>
                <c:pt idx="0">
                  <c:v>METHANOL TANK</c:v>
                </c:pt>
              </c:strCache>
            </c:strRef>
          </c:tx>
          <c:spPr>
            <a:solidFill>
              <a:schemeClr val="accent2"/>
            </a:solidFill>
            <a:ln>
              <a:noFill/>
            </a:ln>
            <a:effectLst/>
          </c:spPr>
          <c:invertIfNegative val="0"/>
          <c:dLbls>
            <c:dLbl>
              <c:idx val="0"/>
              <c:layout>
                <c:manualLayout>
                  <c:x val="9.9955895809169068E-2"/>
                  <c:y val="-6.666499939839597E-17"/>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95D-4C34-B07F-24AB7FF6FC07}"/>
                </c:ext>
              </c:extLst>
            </c:dLbl>
            <c:dLbl>
              <c:idx val="1"/>
              <c:layout>
                <c:manualLayout>
                  <c:x val="0.10175815066761942"/>
                  <c:y val="0"/>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95D-4C34-B07F-24AB7FF6FC07}"/>
                </c:ext>
              </c:extLst>
            </c:dLbl>
            <c:dLbl>
              <c:idx val="2"/>
              <c:layout>
                <c:manualLayout>
                  <c:x val="9.9908002473662702E-2"/>
                  <c:y val="-6.7236341788808542E-17"/>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95D-4C34-B07F-24AB7FF6FC07}"/>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accent2"/>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accent2"/>
                      </a:solidFill>
                      <a:round/>
                    </a:ln>
                    <a:effectLst/>
                  </c:spPr>
                </c15:leaderLines>
              </c:ext>
            </c:extLst>
          </c:dLbls>
          <c:cat>
            <c:strRef>
              <c:f>'contributi LCOH 0,12'!$AG$73:$AG$75</c:f>
              <c:strCache>
                <c:ptCount val="3"/>
                <c:pt idx="0">
                  <c:v>LCOH1</c:v>
                </c:pt>
                <c:pt idx="1">
                  <c:v>LCOH2</c:v>
                </c:pt>
                <c:pt idx="2">
                  <c:v>LCOH3</c:v>
                </c:pt>
              </c:strCache>
            </c:strRef>
          </c:cat>
          <c:val>
            <c:numRef>
              <c:f>'contributi LCOH 0,12'!$AI$73:$AI$75</c:f>
              <c:numCache>
                <c:formatCode>0.00</c:formatCode>
                <c:ptCount val="3"/>
                <c:pt idx="0">
                  <c:v>3.118826766617442E-2</c:v>
                </c:pt>
                <c:pt idx="1">
                  <c:v>4.6685163150184394E-2</c:v>
                </c:pt>
                <c:pt idx="2">
                  <c:v>3.118826766617442E-2</c:v>
                </c:pt>
              </c:numCache>
            </c:numRef>
          </c:val>
          <c:extLst>
            <c:ext xmlns:c16="http://schemas.microsoft.com/office/drawing/2014/chart" uri="{C3380CC4-5D6E-409C-BE32-E72D297353CC}">
              <c16:uniqueId val="{00000001-F55F-4548-8E47-50C9D0FFDBEB}"/>
            </c:ext>
          </c:extLst>
        </c:ser>
        <c:ser>
          <c:idx val="2"/>
          <c:order val="2"/>
          <c:tx>
            <c:strRef>
              <c:f>'contributi LCOH 0,12'!$AJ$72</c:f>
              <c:strCache>
                <c:ptCount val="1"/>
                <c:pt idx="0">
                  <c:v>H2 STORAGE</c:v>
                </c:pt>
              </c:strCache>
            </c:strRef>
          </c:tx>
          <c:spPr>
            <a:solidFill>
              <a:schemeClr val="accent3"/>
            </a:solidFill>
            <a:ln>
              <a:noFill/>
            </a:ln>
            <a:effectLst/>
          </c:spPr>
          <c:invertIfNegative val="0"/>
          <c:dLbls>
            <c:dLbl>
              <c:idx val="0"/>
              <c:layout>
                <c:manualLayout>
                  <c:x val="-9.4415918666742871E-2"/>
                  <c:y val="-6.6787711202356082E-17"/>
                </c:manualLayout>
              </c:layout>
              <c:tx>
                <c:rich>
                  <a:bodyPr/>
                  <a:lstStyle/>
                  <a:p>
                    <a:fld id="{8B2FCAB3-3A53-4905-9770-563E4A1222BE}" type="VALUE">
                      <a:rPr lang="en-US">
                        <a:solidFill>
                          <a:schemeClr val="bg1">
                            <a:lumMod val="50000"/>
                          </a:schemeClr>
                        </a:solidFill>
                      </a:rPr>
                      <a:pPr/>
                      <a:t>[VALORE]</a:t>
                    </a:fld>
                    <a:endParaRPr lang="it-IT"/>
                  </a:p>
                </c:rich>
              </c:tx>
              <c:dLblPos val="ct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095D-4C34-B07F-24AB7FF6FC07}"/>
                </c:ext>
              </c:extLst>
            </c:dLbl>
            <c:dLbl>
              <c:idx val="1"/>
              <c:layout>
                <c:manualLayout>
                  <c:x val="-9.6267211189620241E-2"/>
                  <c:y val="0"/>
                </c:manualLayout>
              </c:layout>
              <c:tx>
                <c:rich>
                  <a:bodyPr/>
                  <a:lstStyle/>
                  <a:p>
                    <a:fld id="{11CCCE0B-4F5B-4E87-BEFE-7A669B1D7BCC}" type="VALUE">
                      <a:rPr lang="en-US">
                        <a:solidFill>
                          <a:schemeClr val="bg1">
                            <a:lumMod val="50000"/>
                          </a:schemeClr>
                        </a:solidFill>
                      </a:rPr>
                      <a:pPr/>
                      <a:t>[VALORE]</a:t>
                    </a:fld>
                    <a:endParaRPr lang="it-IT"/>
                  </a:p>
                </c:rich>
              </c:tx>
              <c:dLblPos val="ct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095D-4C34-B07F-24AB7FF6FC07}"/>
                </c:ext>
              </c:extLst>
            </c:dLbl>
            <c:dLbl>
              <c:idx val="2"/>
              <c:layout>
                <c:manualLayout>
                  <c:x val="-9.0713333620988365E-2"/>
                  <c:y val="-6.6787711202356082E-17"/>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bg1">
                          <a:lumMod val="50000"/>
                        </a:schemeClr>
                      </a:solidFill>
                      <a:latin typeface="+mn-lt"/>
                      <a:ea typeface="+mn-ea"/>
                      <a:cs typeface="+mn-cs"/>
                    </a:defRPr>
                  </a:pPr>
                  <a:endParaRPr lang="it-IT"/>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95D-4C34-B07F-24AB7FF6FC07}"/>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'contributi LCOH 0,12'!$AG$73:$AG$75</c:f>
              <c:strCache>
                <c:ptCount val="3"/>
                <c:pt idx="0">
                  <c:v>LCOH1</c:v>
                </c:pt>
                <c:pt idx="1">
                  <c:v>LCOH2</c:v>
                </c:pt>
                <c:pt idx="2">
                  <c:v>LCOH3</c:v>
                </c:pt>
              </c:strCache>
            </c:strRef>
          </c:cat>
          <c:val>
            <c:numRef>
              <c:f>'contributi LCOH 0,12'!$AJ$73:$AJ$75</c:f>
              <c:numCache>
                <c:formatCode>0.00</c:formatCode>
                <c:ptCount val="3"/>
                <c:pt idx="0">
                  <c:v>0.45467160603468931</c:v>
                </c:pt>
                <c:pt idx="1">
                  <c:v>0.68058984021440794</c:v>
                </c:pt>
                <c:pt idx="2">
                  <c:v>0.45467160603468931</c:v>
                </c:pt>
              </c:numCache>
            </c:numRef>
          </c:val>
          <c:extLst>
            <c:ext xmlns:c16="http://schemas.microsoft.com/office/drawing/2014/chart" uri="{C3380CC4-5D6E-409C-BE32-E72D297353CC}">
              <c16:uniqueId val="{00000002-F55F-4548-8E47-50C9D0FFDBEB}"/>
            </c:ext>
          </c:extLst>
        </c:ser>
        <c:ser>
          <c:idx val="3"/>
          <c:order val="3"/>
          <c:tx>
            <c:strRef>
              <c:f>'contributi LCOH 0,12'!$AK$72</c:f>
              <c:strCache>
                <c:ptCount val="1"/>
                <c:pt idx="0">
                  <c:v>DECOMMISIONING &amp; REPLACEMENT</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'contributi LCOH 0,12'!$AG$73:$AG$75</c:f>
              <c:strCache>
                <c:ptCount val="3"/>
                <c:pt idx="0">
                  <c:v>LCOH1</c:v>
                </c:pt>
                <c:pt idx="1">
                  <c:v>LCOH2</c:v>
                </c:pt>
                <c:pt idx="2">
                  <c:v>LCOH3</c:v>
                </c:pt>
              </c:strCache>
            </c:strRef>
          </c:cat>
          <c:val>
            <c:numRef>
              <c:f>'contributi LCOH 0,12'!$AK$73:$AK$75</c:f>
              <c:numCache>
                <c:formatCode>0.00</c:formatCode>
                <c:ptCount val="3"/>
                <c:pt idx="0">
                  <c:v>1.4007565388272007</c:v>
                </c:pt>
                <c:pt idx="1">
                  <c:v>1.2147241638856254</c:v>
                </c:pt>
                <c:pt idx="2">
                  <c:v>0.81150283746379437</c:v>
                </c:pt>
              </c:numCache>
            </c:numRef>
          </c:val>
          <c:extLst>
            <c:ext xmlns:c16="http://schemas.microsoft.com/office/drawing/2014/chart" uri="{C3380CC4-5D6E-409C-BE32-E72D297353CC}">
              <c16:uniqueId val="{00000003-F55F-4548-8E47-50C9D0FFDBEB}"/>
            </c:ext>
          </c:extLst>
        </c:ser>
        <c:ser>
          <c:idx val="4"/>
          <c:order val="4"/>
          <c:tx>
            <c:strRef>
              <c:f>'contributi LCOH 0,12'!$AL$72</c:f>
              <c:strCache>
                <c:ptCount val="1"/>
                <c:pt idx="0">
                  <c:v>METHANOL</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'contributi LCOH 0,12'!$AG$73:$AG$75</c:f>
              <c:strCache>
                <c:ptCount val="3"/>
                <c:pt idx="0">
                  <c:v>LCOH1</c:v>
                </c:pt>
                <c:pt idx="1">
                  <c:v>LCOH2</c:v>
                </c:pt>
                <c:pt idx="2">
                  <c:v>LCOH3</c:v>
                </c:pt>
              </c:strCache>
            </c:strRef>
          </c:cat>
          <c:val>
            <c:numRef>
              <c:f>'contributi LCOH 0,12'!$AL$73:$AL$75</c:f>
              <c:numCache>
                <c:formatCode>0.00</c:formatCode>
                <c:ptCount val="3"/>
                <c:pt idx="0">
                  <c:v>1.6211473716630753</c:v>
                </c:pt>
                <c:pt idx="1">
                  <c:v>2.4266666666666676</c:v>
                </c:pt>
                <c:pt idx="2">
                  <c:v>1.6211473716630753</c:v>
                </c:pt>
              </c:numCache>
            </c:numRef>
          </c:val>
          <c:extLst>
            <c:ext xmlns:c16="http://schemas.microsoft.com/office/drawing/2014/chart" uri="{C3380CC4-5D6E-409C-BE32-E72D297353CC}">
              <c16:uniqueId val="{00000004-F55F-4548-8E47-50C9D0FFDBEB}"/>
            </c:ext>
          </c:extLst>
        </c:ser>
        <c:ser>
          <c:idx val="5"/>
          <c:order val="5"/>
          <c:tx>
            <c:strRef>
              <c:f>'contributi LCOH 0,12'!$AM$72</c:f>
              <c:strCache>
                <c:ptCount val="1"/>
                <c:pt idx="0">
                  <c:v>ELECTRICITY</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'contributi LCOH 0,12'!$AG$73:$AG$75</c:f>
              <c:strCache>
                <c:ptCount val="3"/>
                <c:pt idx="0">
                  <c:v>LCOH1</c:v>
                </c:pt>
                <c:pt idx="1">
                  <c:v>LCOH2</c:v>
                </c:pt>
                <c:pt idx="2">
                  <c:v>LCOH3</c:v>
                </c:pt>
              </c:strCache>
            </c:strRef>
          </c:cat>
          <c:val>
            <c:numRef>
              <c:f>'contributi LCOH 0,12'!$AM$73:$AM$75</c:f>
              <c:numCache>
                <c:formatCode>0.00</c:formatCode>
                <c:ptCount val="3"/>
                <c:pt idx="0">
                  <c:v>2.1737177230724631</c:v>
                </c:pt>
                <c:pt idx="1">
                  <c:v>3.2537993975903614</c:v>
                </c:pt>
                <c:pt idx="2">
                  <c:v>2.1737177230724631</c:v>
                </c:pt>
              </c:numCache>
            </c:numRef>
          </c:val>
          <c:extLst>
            <c:ext xmlns:c16="http://schemas.microsoft.com/office/drawing/2014/chart" uri="{C3380CC4-5D6E-409C-BE32-E72D297353CC}">
              <c16:uniqueId val="{00000005-F55F-4548-8E47-50C9D0FFDBEB}"/>
            </c:ext>
          </c:extLst>
        </c:ser>
        <c:ser>
          <c:idx val="6"/>
          <c:order val="6"/>
          <c:tx>
            <c:strRef>
              <c:f>'contributi LCOH 0,12'!$AN$72</c:f>
              <c:strCache>
                <c:ptCount val="1"/>
                <c:pt idx="0">
                  <c:v>O&amp;M+CO2</c:v>
                </c:pt>
              </c:strCache>
            </c:strRef>
          </c:tx>
          <c:spPr>
            <a:solidFill>
              <a:schemeClr val="accent1">
                <a:lumMod val="60000"/>
              </a:schemeClr>
            </a:solidFill>
            <a:ln>
              <a:noFill/>
            </a:ln>
            <a:effectLst/>
          </c:spPr>
          <c:invertIfNegative val="0"/>
          <c:dLbls>
            <c:dLbl>
              <c:idx val="0"/>
              <c:layout>
                <c:manualLayout>
                  <c:x val="-3.394627013473782E-17"/>
                  <c:y val="3.6517244046467188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95D-4C34-B07F-24AB7FF6FC07}"/>
                </c:ext>
              </c:extLst>
            </c:dLbl>
            <c:dLbl>
              <c:idx val="2"/>
              <c:layout>
                <c:manualLayout>
                  <c:x val="0"/>
                  <c:y val="3.6517244046467188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95D-4C34-B07F-24AB7FF6FC07}"/>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bg1"/>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'contributi LCOH 0,12'!$AG$73:$AG$75</c:f>
              <c:strCache>
                <c:ptCount val="3"/>
                <c:pt idx="0">
                  <c:v>LCOH1</c:v>
                </c:pt>
                <c:pt idx="1">
                  <c:v>LCOH2</c:v>
                </c:pt>
                <c:pt idx="2">
                  <c:v>LCOH3</c:v>
                </c:pt>
              </c:strCache>
            </c:strRef>
          </c:cat>
          <c:val>
            <c:numRef>
              <c:f>'contributi LCOH 0,12'!$AN$73:$AN$75</c:f>
              <c:numCache>
                <c:formatCode>0.00</c:formatCode>
                <c:ptCount val="3"/>
                <c:pt idx="0">
                  <c:v>0.43856343039294582</c:v>
                </c:pt>
                <c:pt idx="1">
                  <c:v>0.65647779859876465</c:v>
                </c:pt>
                <c:pt idx="2">
                  <c:v>0.43856343039294582</c:v>
                </c:pt>
              </c:numCache>
            </c:numRef>
          </c:val>
          <c:extLst>
            <c:ext xmlns:c16="http://schemas.microsoft.com/office/drawing/2014/chart" uri="{C3380CC4-5D6E-409C-BE32-E72D297353CC}">
              <c16:uniqueId val="{00000006-F55F-4548-8E47-50C9D0FFDBEB}"/>
            </c:ext>
          </c:extLst>
        </c:ser>
        <c:dLbls>
          <c:dLblPos val="ctr"/>
          <c:showLegendKey val="0"/>
          <c:showVal val="1"/>
          <c:showCatName val="0"/>
          <c:showSerName val="0"/>
          <c:showPercent val="0"/>
          <c:showBubbleSize val="0"/>
        </c:dLbls>
        <c:gapWidth val="150"/>
        <c:overlap val="100"/>
        <c:axId val="1483647071"/>
        <c:axId val="1827113647"/>
      </c:barChart>
      <c:catAx>
        <c:axId val="1483647071"/>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crossAx val="1827113647"/>
        <c:crosses val="autoZero"/>
        <c:auto val="1"/>
        <c:lblAlgn val="ctr"/>
        <c:lblOffset val="100"/>
        <c:noMultiLvlLbl val="0"/>
      </c:catAx>
      <c:valAx>
        <c:axId val="1827113647"/>
        <c:scaling>
          <c:orientation val="minMax"/>
        </c:scaling>
        <c:delete val="0"/>
        <c:axPos val="l"/>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it-IT" b="1"/>
                  <a:t>€/kg</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it-IT"/>
            </a:p>
          </c:txPr>
        </c:title>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crossAx val="1483647071"/>
        <c:crosses val="autoZero"/>
        <c:crossBetween val="between"/>
      </c:valAx>
      <c:spPr>
        <a:noFill/>
        <a:ln>
          <a:noFill/>
        </a:ln>
        <a:effectLst/>
      </c:spPr>
    </c:plotArea>
    <c:legend>
      <c:legendPos val="b"/>
      <c:layout>
        <c:manualLayout>
          <c:xMode val="edge"/>
          <c:yMode val="edge"/>
          <c:x val="6.4660958867170187E-2"/>
          <c:y val="0.79742708333333334"/>
          <c:w val="0.9188083061513691"/>
          <c:h val="0.18052430555555554"/>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rgbClr val="F6F2EE"/>
    </a:solidFill>
    <a:ln w="9525" cap="flat" cmpd="sng" algn="ctr">
      <a:solidFill>
        <a:srgbClr val="F6F2EE"/>
      </a:solidFill>
      <a:round/>
    </a:ln>
    <a:effectLst/>
  </c:spPr>
  <c:txPr>
    <a:bodyPr/>
    <a:lstStyle/>
    <a:p>
      <a:pPr>
        <a:defRPr/>
      </a:pPr>
      <a:endParaRPr lang="it-IT"/>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Fixed cost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stacked"/>
        <c:varyColors val="0"/>
        <c:ser>
          <c:idx val="0"/>
          <c:order val="0"/>
          <c:tx>
            <c:strRef>
              <c:f>'contributi LCOH 0,12'!$A$50</c:f>
              <c:strCache>
                <c:ptCount val="1"/>
                <c:pt idx="0">
                  <c:v>Methanol tanks</c:v>
                </c:pt>
              </c:strCache>
            </c:strRef>
          </c:tx>
          <c:spPr>
            <a:solidFill>
              <a:schemeClr val="accent1"/>
            </a:solidFill>
            <a:ln>
              <a:noFill/>
            </a:ln>
            <a:effectLst/>
          </c:spPr>
          <c:invertIfNegative val="0"/>
          <c:cat>
            <c:strLit>
              <c:ptCount val="1"/>
              <c:pt idx="0">
                <c:v>1</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'contributi LCOH 0,12'!$B$50:$C$50</c15:sqref>
                  </c15:fullRef>
                </c:ext>
              </c:extLst>
              <c:f>'contributi LCOH 0,12'!$B$50</c:f>
              <c:numCache>
                <c:formatCode>General</c:formatCode>
                <c:ptCount val="1"/>
                <c:pt idx="0" formatCode="0.000">
                  <c:v>0.22177999999999998</c:v>
                </c:pt>
              </c:numCache>
            </c:numRef>
          </c:val>
          <c:extLst>
            <c:ext xmlns:c16="http://schemas.microsoft.com/office/drawing/2014/chart" uri="{C3380CC4-5D6E-409C-BE32-E72D297353CC}">
              <c16:uniqueId val="{00000000-D401-40FE-A11E-8CFC8F5AD268}"/>
            </c:ext>
          </c:extLst>
        </c:ser>
        <c:ser>
          <c:idx val="1"/>
          <c:order val="1"/>
          <c:tx>
            <c:strRef>
              <c:f>'contributi LCOH 0,12'!$A$51</c:f>
              <c:strCache>
                <c:ptCount val="1"/>
                <c:pt idx="0">
                  <c:v>Hydrogen tanks</c:v>
                </c:pt>
              </c:strCache>
            </c:strRef>
          </c:tx>
          <c:spPr>
            <a:solidFill>
              <a:schemeClr val="accent2"/>
            </a:solidFill>
            <a:ln>
              <a:noFill/>
            </a:ln>
            <a:effectLst/>
          </c:spPr>
          <c:invertIfNegative val="0"/>
          <c:cat>
            <c:strLit>
              <c:ptCount val="1"/>
              <c:pt idx="0">
                <c:v>1,000</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'contributi LCOH 0,12'!$B$51:$C$51</c15:sqref>
                  </c15:fullRef>
                </c:ext>
              </c:extLst>
              <c:f>'contributi LCOH 0,12'!$B$51</c:f>
              <c:numCache>
                <c:formatCode>General</c:formatCode>
                <c:ptCount val="1"/>
                <c:pt idx="0" formatCode="0.000">
                  <c:v>2.7831731234863462</c:v>
                </c:pt>
              </c:numCache>
            </c:numRef>
          </c:val>
          <c:extLst>
            <c:ext xmlns:c16="http://schemas.microsoft.com/office/drawing/2014/chart" uri="{C3380CC4-5D6E-409C-BE32-E72D297353CC}">
              <c16:uniqueId val="{00000001-D401-40FE-A11E-8CFC8F5AD268}"/>
            </c:ext>
          </c:extLst>
        </c:ser>
        <c:ser>
          <c:idx val="2"/>
          <c:order val="2"/>
          <c:tx>
            <c:strRef>
              <c:f>'contributi LCOH 0,12'!$A$52</c:f>
              <c:strCache>
                <c:ptCount val="1"/>
                <c:pt idx="0">
                  <c:v>Compressors</c:v>
                </c:pt>
              </c:strCache>
            </c:strRef>
          </c:tx>
          <c:spPr>
            <a:solidFill>
              <a:schemeClr val="accent3"/>
            </a:solidFill>
            <a:ln>
              <a:noFill/>
            </a:ln>
            <a:effectLst/>
          </c:spPr>
          <c:invertIfNegative val="0"/>
          <c:cat>
            <c:strLit>
              <c:ptCount val="1"/>
              <c:pt idx="0">
                <c:v>1</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'contributi LCOH 0,12'!$B$52:$C$52</c15:sqref>
                  </c15:fullRef>
                </c:ext>
              </c:extLst>
              <c:f>'contributi LCOH 0,12'!$B$52</c:f>
              <c:numCache>
                <c:formatCode>General</c:formatCode>
                <c:ptCount val="1"/>
                <c:pt idx="0">
                  <c:v>0.45</c:v>
                </c:pt>
              </c:numCache>
            </c:numRef>
          </c:val>
          <c:extLst>
            <c:ext xmlns:c16="http://schemas.microsoft.com/office/drawing/2014/chart" uri="{C3380CC4-5D6E-409C-BE32-E72D297353CC}">
              <c16:uniqueId val="{00000002-D401-40FE-A11E-8CFC8F5AD268}"/>
            </c:ext>
          </c:extLst>
        </c:ser>
        <c:ser>
          <c:idx val="3"/>
          <c:order val="3"/>
          <c:tx>
            <c:strRef>
              <c:f>'contributi LCOH 0,12'!$A$53</c:f>
              <c:strCache>
                <c:ptCount val="1"/>
                <c:pt idx="0">
                  <c:v>Electrolyser </c:v>
                </c:pt>
              </c:strCache>
            </c:strRef>
          </c:tx>
          <c:spPr>
            <a:solidFill>
              <a:schemeClr val="accent4"/>
            </a:solidFill>
            <a:ln>
              <a:noFill/>
            </a:ln>
            <a:effectLst/>
          </c:spPr>
          <c:invertIfNegative val="0"/>
          <c:cat>
            <c:strLit>
              <c:ptCount val="1"/>
              <c:pt idx="0">
                <c:v>1,000</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'contributi LCOH 0,12'!$B$53:$C$53</c15:sqref>
                  </c15:fullRef>
                </c:ext>
              </c:extLst>
              <c:f>'contributi LCOH 0,12'!$B$53</c:f>
              <c:numCache>
                <c:formatCode>General</c:formatCode>
                <c:ptCount val="1"/>
                <c:pt idx="0" formatCode="0.000">
                  <c:v>33.202633386189007</c:v>
                </c:pt>
              </c:numCache>
            </c:numRef>
          </c:val>
          <c:extLst>
            <c:ext xmlns:c16="http://schemas.microsoft.com/office/drawing/2014/chart" uri="{C3380CC4-5D6E-409C-BE32-E72D297353CC}">
              <c16:uniqueId val="{00000003-D401-40FE-A11E-8CFC8F5AD268}"/>
            </c:ext>
          </c:extLst>
        </c:ser>
        <c:ser>
          <c:idx val="4"/>
          <c:order val="4"/>
          <c:tx>
            <c:strRef>
              <c:f>'contributi LCOH 0,12'!$A$54</c:f>
              <c:strCache>
                <c:ptCount val="1"/>
                <c:pt idx="0">
                  <c:v>Electrolyser decomminsioning </c:v>
                </c:pt>
              </c:strCache>
            </c:strRef>
          </c:tx>
          <c:spPr>
            <a:solidFill>
              <a:schemeClr val="accent5"/>
            </a:solidFill>
            <a:ln>
              <a:noFill/>
            </a:ln>
            <a:effectLst/>
          </c:spPr>
          <c:invertIfNegative val="0"/>
          <c:cat>
            <c:strLit>
              <c:ptCount val="1"/>
              <c:pt idx="0">
                <c:v>1</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'contributi LCOH 0,12'!$B$54:$C$54</c15:sqref>
                  </c15:fullRef>
                </c:ext>
              </c:extLst>
              <c:f>'contributi LCOH 0,12'!$B$54</c:f>
              <c:numCache>
                <c:formatCode>General</c:formatCode>
                <c:ptCount val="1"/>
                <c:pt idx="0" formatCode="0.000">
                  <c:v>3.3202633386189007</c:v>
                </c:pt>
              </c:numCache>
            </c:numRef>
          </c:val>
          <c:extLst>
            <c:ext xmlns:c16="http://schemas.microsoft.com/office/drawing/2014/chart" uri="{C3380CC4-5D6E-409C-BE32-E72D297353CC}">
              <c16:uniqueId val="{00000004-D401-40FE-A11E-8CFC8F5AD268}"/>
            </c:ext>
          </c:extLst>
        </c:ser>
        <c:ser>
          <c:idx val="5"/>
          <c:order val="5"/>
          <c:tx>
            <c:strRef>
              <c:f>'contributi LCOH 0,12'!$A$55</c:f>
              <c:strCache>
                <c:ptCount val="1"/>
                <c:pt idx="0">
                  <c:v>Electrolyser substitution </c:v>
                </c:pt>
              </c:strCache>
            </c:strRef>
          </c:tx>
          <c:spPr>
            <a:solidFill>
              <a:schemeClr val="accent6"/>
            </a:solidFill>
            <a:ln>
              <a:noFill/>
            </a:ln>
            <a:effectLst/>
          </c:spPr>
          <c:invertIfNegative val="0"/>
          <c:cat>
            <c:strLit>
              <c:ptCount val="1"/>
              <c:pt idx="0">
                <c:v>1</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'contributi LCOH 0,12'!$B$55:$C$55</c15:sqref>
                  </c15:fullRef>
                </c:ext>
              </c:extLst>
              <c:f>'contributi LCOH 0,12'!$B$55</c:f>
              <c:numCache>
                <c:formatCode>General</c:formatCode>
                <c:ptCount val="1"/>
                <c:pt idx="0" formatCode="0.000">
                  <c:v>6.6405266772378013</c:v>
                </c:pt>
              </c:numCache>
            </c:numRef>
          </c:val>
          <c:extLst>
            <c:ext xmlns:c16="http://schemas.microsoft.com/office/drawing/2014/chart" uri="{C3380CC4-5D6E-409C-BE32-E72D297353CC}">
              <c16:uniqueId val="{00000005-D401-40FE-A11E-8CFC8F5AD268}"/>
            </c:ext>
          </c:extLst>
        </c:ser>
        <c:dLbls>
          <c:showLegendKey val="0"/>
          <c:showVal val="0"/>
          <c:showCatName val="0"/>
          <c:showSerName val="0"/>
          <c:showPercent val="0"/>
          <c:showBubbleSize val="0"/>
        </c:dLbls>
        <c:gapWidth val="150"/>
        <c:overlap val="100"/>
        <c:axId val="1048413600"/>
        <c:axId val="1327944400"/>
      </c:barChart>
      <c:catAx>
        <c:axId val="1048413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327944400"/>
        <c:crosses val="autoZero"/>
        <c:auto val="1"/>
        <c:lblAlgn val="ctr"/>
        <c:lblOffset val="100"/>
        <c:noMultiLvlLbl val="0"/>
      </c:catAx>
      <c:valAx>
        <c:axId val="1327944400"/>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0484136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'contributi LCOH 0,12'!$A$75:$A$79</c:f>
              <c:strCache>
                <c:ptCount val="5"/>
                <c:pt idx="0">
                  <c:v>Methanol </c:v>
                </c:pt>
                <c:pt idx="1">
                  <c:v>Compressor O&amp;M</c:v>
                </c:pt>
                <c:pt idx="2">
                  <c:v>CO2 capture &amp; storage</c:v>
                </c:pt>
                <c:pt idx="3">
                  <c:v>Electrolyser O&amp;M</c:v>
                </c:pt>
                <c:pt idx="4">
                  <c:v>Electricity </c:v>
                </c:pt>
              </c:strCache>
            </c:strRef>
          </c:cat>
          <c:val>
            <c:numRef>
              <c:f>'contributi LCOH 0,12'!$B$75:$B$79</c:f>
              <c:numCache>
                <c:formatCode>0.00</c:formatCode>
                <c:ptCount val="5"/>
                <c:pt idx="0">
                  <c:v>0.82171640263643531</c:v>
                </c:pt>
                <c:pt idx="1">
                  <c:v>1.8000000000000002E-2</c:v>
                </c:pt>
                <c:pt idx="2">
                  <c:v>0.19865671272529209</c:v>
                </c:pt>
                <c:pt idx="3">
                  <c:v>5.63940337715149E-3</c:v>
                </c:pt>
                <c:pt idx="4">
                  <c:v>1.1017995889650625</c:v>
                </c:pt>
              </c:numCache>
            </c:numRef>
          </c:val>
          <c:extLst>
            <c:ext xmlns:c16="http://schemas.microsoft.com/office/drawing/2014/chart" uri="{C3380CC4-5D6E-409C-BE32-E72D297353CC}">
              <c16:uniqueId val="{00000000-6972-46FC-9E08-FD5D0ED327B4}"/>
            </c:ext>
          </c:extLst>
        </c:ser>
        <c:dLbls>
          <c:dLblPos val="outEnd"/>
          <c:showLegendKey val="0"/>
          <c:showVal val="1"/>
          <c:showCatName val="0"/>
          <c:showSerName val="0"/>
          <c:showPercent val="0"/>
          <c:showBubbleSize val="0"/>
        </c:dLbls>
        <c:gapWidth val="219"/>
        <c:overlap val="-27"/>
        <c:axId val="1049546976"/>
        <c:axId val="1327950640"/>
      </c:barChart>
      <c:catAx>
        <c:axId val="1049546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327950640"/>
        <c:crosses val="autoZero"/>
        <c:auto val="1"/>
        <c:lblAlgn val="ctr"/>
        <c:lblOffset val="100"/>
        <c:noMultiLvlLbl val="0"/>
      </c:catAx>
      <c:valAx>
        <c:axId val="132795064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0495469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stack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'contributi LCOH 0,12'!$K$60:$P$60</c:f>
              <c:strCache>
                <c:ptCount val="6"/>
                <c:pt idx="0">
                  <c:v>ELECTRICITY COST </c:v>
                </c:pt>
                <c:pt idx="1">
                  <c:v>MAINTENAINCE AND CO2 CAPTURE AND STORAGE </c:v>
                </c:pt>
                <c:pt idx="2">
                  <c:v>METHANOL COST </c:v>
                </c:pt>
                <c:pt idx="3">
                  <c:v>DECOMISSIONING </c:v>
                </c:pt>
                <c:pt idx="4">
                  <c:v>STACK SUBSTITUTION </c:v>
                </c:pt>
                <c:pt idx="5">
                  <c:v>FIXED COST </c:v>
                </c:pt>
              </c:strCache>
            </c:strRef>
          </c:cat>
          <c:val>
            <c:numRef>
              <c:f>'contributi LCOH 0,12'!$K$61:$P$61</c:f>
              <c:numCache>
                <c:formatCode>0.00</c:formatCode>
                <c:ptCount val="6"/>
                <c:pt idx="0">
                  <c:v>23.13779136826631</c:v>
                </c:pt>
                <c:pt idx="1">
                  <c:v>4.6682184381513157</c:v>
                </c:pt>
                <c:pt idx="2">
                  <c:v>17.256044455365139</c:v>
                </c:pt>
                <c:pt idx="3">
                  <c:v>3.3202633386189007</c:v>
                </c:pt>
                <c:pt idx="4">
                  <c:v>6.6405266772378013</c:v>
                </c:pt>
                <c:pt idx="5">
                  <c:v>36.657586509675355</c:v>
                </c:pt>
              </c:numCache>
            </c:numRef>
          </c:val>
          <c:extLst>
            <c:ext xmlns:c16="http://schemas.microsoft.com/office/drawing/2014/chart" uri="{C3380CC4-5D6E-409C-BE32-E72D297353CC}">
              <c16:uniqueId val="{00000000-60E8-4D3B-A9DB-03D1CFF4E158}"/>
            </c:ext>
          </c:extLst>
        </c:ser>
        <c:dLbls>
          <c:dLblPos val="ctr"/>
          <c:showLegendKey val="0"/>
          <c:showVal val="1"/>
          <c:showCatName val="0"/>
          <c:showSerName val="0"/>
          <c:showPercent val="0"/>
          <c:showBubbleSize val="0"/>
        </c:dLbls>
        <c:gapWidth val="79"/>
        <c:overlap val="100"/>
        <c:axId val="1069130016"/>
        <c:axId val="1532597104"/>
      </c:barChart>
      <c:catAx>
        <c:axId val="10691300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it-IT"/>
          </a:p>
        </c:txPr>
        <c:crossAx val="1532597104"/>
        <c:crosses val="autoZero"/>
        <c:auto val="1"/>
        <c:lblAlgn val="ctr"/>
        <c:lblOffset val="100"/>
        <c:noMultiLvlLbl val="0"/>
      </c:catAx>
      <c:valAx>
        <c:axId val="1532597104"/>
        <c:scaling>
          <c:orientation val="minMax"/>
        </c:scaling>
        <c:delete val="1"/>
        <c:axPos val="l"/>
        <c:numFmt formatCode="0.00" sourceLinked="1"/>
        <c:majorTickMark val="none"/>
        <c:minorTickMark val="none"/>
        <c:tickLblPos val="nextTo"/>
        <c:crossAx val="106913001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en-US" sz="2000" b="1"/>
              <a:t>Cost distribution</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it-I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1.3509252097052711E-2"/>
          <c:y val="0.12251961251436776"/>
          <c:w val="0.97298149580589455"/>
          <c:h val="0.65287182525377685"/>
        </c:manualLayout>
      </c:layout>
      <c:pie3DChart>
        <c:varyColors val="1"/>
        <c:ser>
          <c:idx val="0"/>
          <c:order val="0"/>
          <c:dPt>
            <c:idx val="0"/>
            <c:bubble3D val="0"/>
            <c:spPr>
              <a:solidFill>
                <a:srgbClr val="00B050"/>
              </a:solidFill>
              <a:ln w="25400">
                <a:solidFill>
                  <a:schemeClr val="lt1"/>
                </a:solidFill>
              </a:ln>
              <a:effectLst/>
              <a:sp3d contourW="25400">
                <a:contourClr>
                  <a:schemeClr val="lt1"/>
                </a:contourClr>
              </a:sp3d>
            </c:spPr>
            <c:extLst>
              <c:ext xmlns:c16="http://schemas.microsoft.com/office/drawing/2014/chart" uri="{C3380CC4-5D6E-409C-BE32-E72D297353CC}">
                <c16:uniqueId val="{00000001-9394-4465-AD76-72D5AE1A1D1C}"/>
              </c:ext>
            </c:extLst>
          </c:dPt>
          <c:dPt>
            <c:idx val="1"/>
            <c:bubble3D val="0"/>
            <c:spPr>
              <a:solidFill>
                <a:srgbClr val="00B0F0"/>
              </a:solidFill>
              <a:ln w="25400">
                <a:solidFill>
                  <a:schemeClr val="lt1"/>
                </a:solidFill>
              </a:ln>
              <a:effectLst/>
              <a:sp3d contourW="25400">
                <a:contourClr>
                  <a:schemeClr val="lt1"/>
                </a:contourClr>
              </a:sp3d>
            </c:spPr>
            <c:extLst>
              <c:ext xmlns:c16="http://schemas.microsoft.com/office/drawing/2014/chart" uri="{C3380CC4-5D6E-409C-BE32-E72D297353CC}">
                <c16:uniqueId val="{00000003-9394-4465-AD76-72D5AE1A1D1C}"/>
              </c:ext>
            </c:extLst>
          </c:dPt>
          <c:dPt>
            <c:idx val="2"/>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5-9394-4465-AD76-72D5AE1A1D1C}"/>
              </c:ext>
            </c:extLst>
          </c:dPt>
          <c:dPt>
            <c:idx val="3"/>
            <c:bubble3D val="0"/>
            <c:spPr>
              <a:solidFill>
                <a:srgbClr val="FFFF00"/>
              </a:solidFill>
              <a:ln w="25400">
                <a:solidFill>
                  <a:schemeClr val="lt1"/>
                </a:solidFill>
              </a:ln>
              <a:effectLst/>
              <a:sp3d contourW="25400">
                <a:contourClr>
                  <a:schemeClr val="lt1"/>
                </a:contourClr>
              </a:sp3d>
            </c:spPr>
            <c:extLst>
              <c:ext xmlns:c16="http://schemas.microsoft.com/office/drawing/2014/chart" uri="{C3380CC4-5D6E-409C-BE32-E72D297353CC}">
                <c16:uniqueId val="{00000007-9394-4465-AD76-72D5AE1A1D1C}"/>
              </c:ext>
            </c:extLst>
          </c:dPt>
          <c:dPt>
            <c:idx val="4"/>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9-9394-4465-AD76-72D5AE1A1D1C}"/>
              </c:ext>
            </c:extLst>
          </c:dPt>
          <c:dPt>
            <c:idx val="5"/>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B-9394-4465-AD76-72D5AE1A1D1C}"/>
              </c:ext>
            </c:extLst>
          </c:dPt>
          <c:dLbls>
            <c:dLbl>
              <c:idx val="1"/>
              <c:layout>
                <c:manualLayout>
                  <c:x val="-0.13611129077695827"/>
                  <c:y val="-0.10838751367209613"/>
                </c:manualLayout>
              </c:layout>
              <c:tx>
                <c:rich>
                  <a:bodyPr rot="0" spcFirstLastPara="1" vertOverflow="ellipsis" vert="horz" wrap="square" lIns="38100" tIns="19050" rIns="38100" bIns="19050" anchor="ctr" anchorCtr="1">
                    <a:noAutofit/>
                  </a:bodyPr>
                  <a:lstStyle/>
                  <a:p>
                    <a:pPr>
                      <a:defRPr sz="1200" b="1" i="0" u="none" strike="noStrike" kern="1200" baseline="0">
                        <a:solidFill>
                          <a:schemeClr val="tx1">
                            <a:lumMod val="75000"/>
                            <a:lumOff val="25000"/>
                          </a:schemeClr>
                        </a:solidFill>
                        <a:latin typeface="+mn-lt"/>
                        <a:ea typeface="+mn-ea"/>
                        <a:cs typeface="+mn-cs"/>
                      </a:defRPr>
                    </a:pPr>
                    <a:fld id="{6B6E2BF8-46FC-4C31-AA9A-FB3B3469E9FA}" type="CATEGORYNAME">
                      <a:rPr lang="en-US"/>
                      <a:pPr>
                        <a:defRPr sz="1200" b="1"/>
                      </a:pPr>
                      <a:t>[NOME CATEGORIA]</a:t>
                    </a:fld>
                    <a:endParaRPr lang="en-US"/>
                  </a:p>
                  <a:p>
                    <a:pPr>
                      <a:defRPr sz="1200" b="1"/>
                    </a:pPr>
                    <a:r>
                      <a:rPr lang="en-US"/>
                      <a:t> </a:t>
                    </a:r>
                    <a:fld id="{49DDB8A6-8F94-4DEB-8C12-0C0BE70388E5}" type="PERCENTAGE">
                      <a:rPr lang="en-US" baseline="0"/>
                      <a:pPr>
                        <a:defRPr sz="1200" b="1"/>
                      </a:pPr>
                      <a:t>[PERCENTUALE]</a:t>
                    </a:fld>
                    <a:endParaRPr lang="en-US"/>
                  </a:p>
                </c:rich>
              </c:tx>
              <c:spPr>
                <a:noFill/>
                <a:ln>
                  <a:noFill/>
                </a:ln>
                <a:effectLst/>
              </c:spPr>
              <c:txPr>
                <a:bodyPr rot="0" spcFirstLastPara="1" vertOverflow="ellipsis" vert="horz" wrap="square" lIns="38100" tIns="19050" rIns="38100" bIns="19050" anchor="ctr" anchorCtr="1">
                  <a:noAutofit/>
                </a:bodyPr>
                <a:lstStyle/>
                <a:p>
                  <a:pPr>
                    <a:defRPr sz="1200" b="1" i="0" u="none" strike="noStrike" kern="1200" baseline="0">
                      <a:solidFill>
                        <a:schemeClr val="tx1">
                          <a:lumMod val="75000"/>
                          <a:lumOff val="25000"/>
                        </a:schemeClr>
                      </a:solidFill>
                      <a:latin typeface="+mn-lt"/>
                      <a:ea typeface="+mn-ea"/>
                      <a:cs typeface="+mn-cs"/>
                    </a:defRPr>
                  </a:pPr>
                  <a:endParaRPr lang="it-IT"/>
                </a:p>
              </c:txPr>
              <c:dLblPos val="bestFit"/>
              <c:showLegendKey val="0"/>
              <c:showVal val="0"/>
              <c:showCatName val="1"/>
              <c:showSerName val="0"/>
              <c:showPercent val="1"/>
              <c:showBubbleSize val="0"/>
              <c:extLst>
                <c:ext xmlns:c15="http://schemas.microsoft.com/office/drawing/2012/chart" uri="{CE6537A1-D6FC-4f65-9D91-7224C49458BB}">
                  <c15:layout>
                    <c:manualLayout>
                      <c:w val="0.27550350480459962"/>
                      <c:h val="0.12760481444716512"/>
                    </c:manualLayout>
                  </c15:layout>
                  <c15:dlblFieldTable/>
                  <c15:showDataLabelsRange val="0"/>
                </c:ext>
                <c:ext xmlns:c16="http://schemas.microsoft.com/office/drawing/2014/chart" uri="{C3380CC4-5D6E-409C-BE32-E72D297353CC}">
                  <c16:uniqueId val="{00000003-9394-4465-AD76-72D5AE1A1D1C}"/>
                </c:ext>
              </c:extLst>
            </c:dLbl>
            <c:dLbl>
              <c:idx val="2"/>
              <c:layout>
                <c:manualLayout>
                  <c:x val="-0.13016037035719646"/>
                  <c:y val="-0.24279985835612816"/>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394-4465-AD76-72D5AE1A1D1C}"/>
                </c:ext>
              </c:extLst>
            </c:dLbl>
            <c:dLbl>
              <c:idx val="3"/>
              <c:layout>
                <c:manualLayout>
                  <c:x val="1.7960632538232293E-2"/>
                  <c:y val="-0.22382429532279965"/>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394-4465-AD76-72D5AE1A1D1C}"/>
                </c:ext>
              </c:extLst>
            </c:dLbl>
            <c:dLbl>
              <c:idx val="4"/>
              <c:layout>
                <c:manualLayout>
                  <c:x val="0.11219000571954621"/>
                  <c:y val="-0.30064591559869069"/>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9394-4465-AD76-72D5AE1A1D1C}"/>
                </c:ext>
              </c:extLst>
            </c:dLbl>
            <c:dLbl>
              <c:idx val="5"/>
              <c:layout>
                <c:manualLayout>
                  <c:x val="0.13781686273114915"/>
                  <c:y val="5.3955524079139583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9394-4465-AD76-72D5AE1A1D1C}"/>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it-IT"/>
              </a:p>
            </c:txPr>
            <c:dLblPos val="in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'contributi LCOH 0,16'!$I$25:$O$25</c15:sqref>
                  </c15:fullRef>
                </c:ext>
              </c:extLst>
              <c:f>('contributi LCOH 0,16'!$I$25,'contributi LCOH 0,16'!$K$25:$O$25)</c:f>
              <c:strCache>
                <c:ptCount val="6"/>
                <c:pt idx="0">
                  <c:v>ELECTRICITY COST [M€]</c:v>
                </c:pt>
                <c:pt idx="1">
                  <c:v>MAINTENAINCE AND CO2 CAPTURE AND STORAGE [M€]</c:v>
                </c:pt>
                <c:pt idx="2">
                  <c:v>METHANOL COST [M€]</c:v>
                </c:pt>
                <c:pt idx="3">
                  <c:v>DECOMISSIONING [M€]</c:v>
                </c:pt>
                <c:pt idx="4">
                  <c:v>STACK SUBSTITUTION [M€]</c:v>
                </c:pt>
                <c:pt idx="5">
                  <c:v>FIXED COST [M€]</c:v>
                </c:pt>
              </c:strCache>
            </c:strRef>
          </c:cat>
          <c:val>
            <c:numRef>
              <c:extLst>
                <c:ext xmlns:c15="http://schemas.microsoft.com/office/drawing/2012/chart" uri="{02D57815-91ED-43cb-92C2-25804820EDAC}">
                  <c15:fullRef>
                    <c15:sqref>'contributi LCOH 0,16'!$I$26:$O$26</c15:sqref>
                  </c15:fullRef>
                </c:ext>
              </c:extLst>
              <c:f>('contributi LCOH 0,16'!$I$26,'contributi LCOH 0,16'!$K$26:$O$26)</c:f>
              <c:numCache>
                <c:formatCode>0.0000</c:formatCode>
                <c:ptCount val="6"/>
                <c:pt idx="0" formatCode="0.000">
                  <c:v>30.850388491021761</c:v>
                </c:pt>
                <c:pt idx="1">
                  <c:v>4.6682184381513157</c:v>
                </c:pt>
                <c:pt idx="2" formatCode="0.000">
                  <c:v>17.256044455365139</c:v>
                </c:pt>
                <c:pt idx="3" formatCode="0.000">
                  <c:v>3.3202633386189007</c:v>
                </c:pt>
                <c:pt idx="4" formatCode="General">
                  <c:v>6.6405266772378013</c:v>
                </c:pt>
                <c:pt idx="5" formatCode="0.000">
                  <c:v>36.657586509675355</c:v>
                </c:pt>
              </c:numCache>
            </c:numRef>
          </c:val>
          <c:extLst>
            <c:ext xmlns:c15="http://schemas.microsoft.com/office/drawing/2012/chart" uri="{02D57815-91ED-43cb-92C2-25804820EDAC}">
              <c15:categoryFilterExceptions>
                <c15:categoryFilterException>
                  <c15:sqref>'contributi LCOH 0,16'!$J$26</c15:sqref>
                  <c15:spPr xmlns:c15="http://schemas.microsoft.com/office/drawing/2012/chart">
                    <a:solidFill>
                      <a:schemeClr val="accent2"/>
                    </a:solidFill>
                    <a:ln w="25400">
                      <a:solidFill>
                        <a:schemeClr val="lt1"/>
                      </a:solidFill>
                    </a:ln>
                    <a:effectLst/>
                    <a:sp3d contourW="25400">
                      <a:contourClr>
                        <a:schemeClr val="lt1"/>
                      </a:contourClr>
                    </a:sp3d>
                  </c15:spPr>
                  <c15:bubble3D val="0"/>
                  <c15:dLbl>
                    <c:idx val="0"/>
                    <c:layout>
                      <c:manualLayout>
                        <c:x val="-0.10745921534273109"/>
                        <c:y val="-0.11453589433724029"/>
                      </c:manualLayout>
                    </c:layout>
                    <c:dLblPos val="bestFit"/>
                    <c:showLegendKey val="0"/>
                    <c:showVal val="0"/>
                    <c:showCatName val="1"/>
                    <c:showSerName val="0"/>
                    <c:showPercent val="1"/>
                    <c:showBubbleSize val="0"/>
                    <c:extLst>
                      <c:ext uri="{CE6537A1-D6FC-4f65-9D91-7224C49458BB}"/>
                      <c:ext xmlns:c16="http://schemas.microsoft.com/office/drawing/2014/chart" uri="{C3380CC4-5D6E-409C-BE32-E72D297353CC}">
                        <c16:uniqueId val="{0000000D-D27D-4FA6-B086-1A2220D14A0B}"/>
                      </c:ext>
                    </c:extLst>
                  </c15:dLbl>
                </c15:categoryFilterException>
              </c15:categoryFilterExceptions>
            </c:ext>
            <c:ext xmlns:c16="http://schemas.microsoft.com/office/drawing/2014/chart" uri="{C3380CC4-5D6E-409C-BE32-E72D297353CC}">
              <c16:uniqueId val="{0000000C-9394-4465-AD76-72D5AE1A1D1C}"/>
            </c:ext>
          </c:extLst>
        </c:ser>
        <c:dLbls>
          <c:dLblPos val="inEnd"/>
          <c:showLegendKey val="0"/>
          <c:showVal val="0"/>
          <c:showCatName val="1"/>
          <c:showSerName val="0"/>
          <c:showPercent val="0"/>
          <c:showBubbleSize val="0"/>
          <c:showLeaderLines val="1"/>
        </c:dLbls>
      </c:pie3DChart>
      <c:spPr>
        <a:noFill/>
        <a:ln>
          <a:noFill/>
        </a:ln>
        <a:effectLst/>
      </c:spPr>
    </c:plotArea>
    <c:legend>
      <c:legendPos val="r"/>
      <c:layout>
        <c:manualLayout>
          <c:xMode val="edge"/>
          <c:yMode val="edge"/>
          <c:x val="5.9320798900615737E-3"/>
          <c:y val="0.78770328115437638"/>
          <c:w val="0.99038357862892401"/>
          <c:h val="0.21076599637903207"/>
        </c:manualLayout>
      </c:layout>
      <c:overlay val="0"/>
      <c:spPr>
        <a:noFill/>
        <a:ln>
          <a:solidFill>
            <a:schemeClr val="tx1">
              <a:alpha val="92000"/>
            </a:schemeClr>
          </a:solid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bg1"/>
      </a:solidFill>
      <a:round/>
    </a:ln>
    <a:effectLst/>
  </c:spPr>
  <c:txPr>
    <a:bodyPr/>
    <a:lstStyle/>
    <a:p>
      <a:pPr>
        <a:defRPr/>
      </a:pPr>
      <a:endParaRPr lang="it-IT"/>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LCOH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manualLayout>
          <c:layoutTarget val="inner"/>
          <c:xMode val="edge"/>
          <c:yMode val="edge"/>
          <c:x val="5.3703363014202664E-2"/>
          <c:y val="0.12855457298606907"/>
          <c:w val="0.91592280521009639"/>
          <c:h val="0.63351689884918228"/>
        </c:manualLayout>
      </c:layout>
      <c:barChart>
        <c:barDir val="col"/>
        <c:grouping val="stacked"/>
        <c:varyColors val="0"/>
        <c:ser>
          <c:idx val="0"/>
          <c:order val="0"/>
          <c:tx>
            <c:strRef>
              <c:f>'contributi LCOH 0,16'!$W$61</c:f>
              <c:strCache>
                <c:ptCount val="1"/>
                <c:pt idx="0">
                  <c:v>ELECTROLYSER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0,16'!$W$62</c:f>
              <c:numCache>
                <c:formatCode>0.000</c:formatCode>
                <c:ptCount val="1"/>
                <c:pt idx="0">
                  <c:v>4.6691884627573357</c:v>
                </c:pt>
              </c:numCache>
            </c:numRef>
          </c:val>
          <c:extLst>
            <c:ext xmlns:c16="http://schemas.microsoft.com/office/drawing/2014/chart" uri="{C3380CC4-5D6E-409C-BE32-E72D297353CC}">
              <c16:uniqueId val="{00000000-239F-4F32-A450-71788194AD66}"/>
            </c:ext>
          </c:extLst>
        </c:ser>
        <c:ser>
          <c:idx val="1"/>
          <c:order val="1"/>
          <c:tx>
            <c:strRef>
              <c:f>'contributi LCOH 0,16'!$X$61</c:f>
              <c:strCache>
                <c:ptCount val="1"/>
                <c:pt idx="0">
                  <c:v>METHANOL TANK</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0,16'!$X$62</c:f>
              <c:numCache>
                <c:formatCode>0.000</c:formatCode>
                <c:ptCount val="1"/>
                <c:pt idx="0">
                  <c:v>3.118826766617442E-2</c:v>
                </c:pt>
              </c:numCache>
            </c:numRef>
          </c:val>
          <c:extLst>
            <c:ext xmlns:c16="http://schemas.microsoft.com/office/drawing/2014/chart" uri="{C3380CC4-5D6E-409C-BE32-E72D297353CC}">
              <c16:uniqueId val="{00000001-239F-4F32-A450-71788194AD66}"/>
            </c:ext>
          </c:extLst>
        </c:ser>
        <c:ser>
          <c:idx val="2"/>
          <c:order val="2"/>
          <c:tx>
            <c:strRef>
              <c:f>'contributi LCOH 0,16'!$Y$61</c:f>
              <c:strCache>
                <c:ptCount val="1"/>
                <c:pt idx="0">
                  <c:v>H2 STORAGE</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0,16'!$Y$62</c:f>
              <c:numCache>
                <c:formatCode>0.000</c:formatCode>
                <c:ptCount val="1"/>
                <c:pt idx="0">
                  <c:v>0.45467160603468931</c:v>
                </c:pt>
              </c:numCache>
            </c:numRef>
          </c:val>
          <c:extLst>
            <c:ext xmlns:c16="http://schemas.microsoft.com/office/drawing/2014/chart" uri="{C3380CC4-5D6E-409C-BE32-E72D297353CC}">
              <c16:uniqueId val="{00000002-239F-4F32-A450-71788194AD66}"/>
            </c:ext>
          </c:extLst>
        </c:ser>
        <c:ser>
          <c:idx val="3"/>
          <c:order val="3"/>
          <c:tx>
            <c:strRef>
              <c:f>'contributi LCOH 0,16'!$Z$61</c:f>
              <c:strCache>
                <c:ptCount val="1"/>
                <c:pt idx="0">
                  <c:v>DECOM.+REPLACE.</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0,16'!$Z$62</c:f>
              <c:numCache>
                <c:formatCode>0.000</c:formatCode>
                <c:ptCount val="1"/>
                <c:pt idx="0">
                  <c:v>1.4007565388272007</c:v>
                </c:pt>
              </c:numCache>
            </c:numRef>
          </c:val>
          <c:extLst>
            <c:ext xmlns:c16="http://schemas.microsoft.com/office/drawing/2014/chart" uri="{C3380CC4-5D6E-409C-BE32-E72D297353CC}">
              <c16:uniqueId val="{00000003-239F-4F32-A450-71788194AD66}"/>
            </c:ext>
          </c:extLst>
        </c:ser>
        <c:ser>
          <c:idx val="4"/>
          <c:order val="4"/>
          <c:tx>
            <c:strRef>
              <c:f>'contributi LCOH 0,16'!$AA$61</c:f>
              <c:strCache>
                <c:ptCount val="1"/>
                <c:pt idx="0">
                  <c:v>METHANOL</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0,16'!$AA$62</c:f>
              <c:numCache>
                <c:formatCode>0.000</c:formatCode>
                <c:ptCount val="1"/>
                <c:pt idx="0">
                  <c:v>1.6211473716630753</c:v>
                </c:pt>
              </c:numCache>
            </c:numRef>
          </c:val>
          <c:extLst>
            <c:ext xmlns:c16="http://schemas.microsoft.com/office/drawing/2014/chart" uri="{C3380CC4-5D6E-409C-BE32-E72D297353CC}">
              <c16:uniqueId val="{00000004-239F-4F32-A450-71788194AD66}"/>
            </c:ext>
          </c:extLst>
        </c:ser>
        <c:ser>
          <c:idx val="5"/>
          <c:order val="5"/>
          <c:tx>
            <c:strRef>
              <c:f>'contributi LCOH 0,16'!$AB$61</c:f>
              <c:strCache>
                <c:ptCount val="1"/>
                <c:pt idx="0">
                  <c:v>ELECTRICITY</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0,16'!$AB$62</c:f>
              <c:numCache>
                <c:formatCode>0.000</c:formatCode>
                <c:ptCount val="1"/>
                <c:pt idx="0">
                  <c:v>2.8982902974299511</c:v>
                </c:pt>
              </c:numCache>
            </c:numRef>
          </c:val>
          <c:extLst>
            <c:ext xmlns:c16="http://schemas.microsoft.com/office/drawing/2014/chart" uri="{C3380CC4-5D6E-409C-BE32-E72D297353CC}">
              <c16:uniqueId val="{00000005-239F-4F32-A450-71788194AD66}"/>
            </c:ext>
          </c:extLst>
        </c:ser>
        <c:ser>
          <c:idx val="6"/>
          <c:order val="6"/>
          <c:tx>
            <c:strRef>
              <c:f>'contributi LCOH 0,16'!$AC$61</c:f>
              <c:strCache>
                <c:ptCount val="1"/>
                <c:pt idx="0">
                  <c:v>O&amp;M+CO2</c:v>
                </c:pt>
              </c:strCache>
            </c:strRef>
          </c:tx>
          <c:spPr>
            <a:solidFill>
              <a:schemeClr val="accent1">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0,16'!$AC$62</c:f>
              <c:numCache>
                <c:formatCode>0.000</c:formatCode>
                <c:ptCount val="1"/>
                <c:pt idx="0">
                  <c:v>0.43856343039294582</c:v>
                </c:pt>
              </c:numCache>
            </c:numRef>
          </c:val>
          <c:extLst>
            <c:ext xmlns:c16="http://schemas.microsoft.com/office/drawing/2014/chart" uri="{C3380CC4-5D6E-409C-BE32-E72D297353CC}">
              <c16:uniqueId val="{00000006-239F-4F32-A450-71788194AD66}"/>
            </c:ext>
          </c:extLst>
        </c:ser>
        <c:dLbls>
          <c:dLblPos val="ctr"/>
          <c:showLegendKey val="0"/>
          <c:showVal val="1"/>
          <c:showCatName val="0"/>
          <c:showSerName val="0"/>
          <c:showPercent val="0"/>
          <c:showBubbleSize val="0"/>
        </c:dLbls>
        <c:gapWidth val="150"/>
        <c:overlap val="100"/>
        <c:axId val="883218127"/>
        <c:axId val="10863311"/>
      </c:barChart>
      <c:catAx>
        <c:axId val="883218127"/>
        <c:scaling>
          <c:orientation val="minMax"/>
        </c:scaling>
        <c:delete val="0"/>
        <c:axPos val="b"/>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0863311"/>
        <c:crosses val="autoZero"/>
        <c:auto val="1"/>
        <c:lblAlgn val="ctr"/>
        <c:lblOffset val="100"/>
        <c:noMultiLvlLbl val="0"/>
      </c:catAx>
      <c:valAx>
        <c:axId val="10863311"/>
        <c:scaling>
          <c:orientation val="minMax"/>
        </c:scaling>
        <c:delete val="0"/>
        <c:axPos val="l"/>
        <c:majorGridlines>
          <c:spPr>
            <a:ln w="9525" cap="flat" cmpd="sng" algn="ctr">
              <a:solidFill>
                <a:schemeClr val="tx1">
                  <a:lumMod val="15000"/>
                  <a:lumOff val="85000"/>
                </a:schemeClr>
              </a:solidFill>
              <a:round/>
            </a:ln>
            <a:effectLst/>
          </c:spPr>
        </c:majorGridlines>
        <c:title>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8321812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it-IT" b="1"/>
              <a:t>LCOH results</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stacked"/>
        <c:varyColors val="0"/>
        <c:ser>
          <c:idx val="0"/>
          <c:order val="0"/>
          <c:tx>
            <c:strRef>
              <c:f>'contributi LCOH 0,16'!$AH$72</c:f>
              <c:strCache>
                <c:ptCount val="1"/>
                <c:pt idx="0">
                  <c:v>ELECTROLYSER</c:v>
                </c:pt>
              </c:strCache>
            </c:strRef>
          </c:tx>
          <c:spPr>
            <a:solidFill>
              <a:schemeClr val="accent1"/>
            </a:solidFill>
            <a:ln>
              <a:noFill/>
            </a:ln>
            <a:effectLst/>
          </c:spPr>
          <c:invertIfNegative val="0"/>
          <c:cat>
            <c:strRef>
              <c:f>'contributi LCOH 0,16'!$AG$73:$AG$75</c:f>
              <c:strCache>
                <c:ptCount val="3"/>
                <c:pt idx="0">
                  <c:v>LCOH1</c:v>
                </c:pt>
                <c:pt idx="1">
                  <c:v>LCOH2</c:v>
                </c:pt>
                <c:pt idx="2">
                  <c:v>LCOH3</c:v>
                </c:pt>
              </c:strCache>
            </c:strRef>
          </c:cat>
          <c:val>
            <c:numRef>
              <c:f>'contributi LCOH 0,16'!$AH$73:$AH$75</c:f>
              <c:numCache>
                <c:formatCode>0.000</c:formatCode>
                <c:ptCount val="3"/>
                <c:pt idx="0">
                  <c:v>4.6691884627573357</c:v>
                </c:pt>
                <c:pt idx="1">
                  <c:v>6.9892251629993387</c:v>
                </c:pt>
                <c:pt idx="2" formatCode="0.00">
                  <c:v>4.6691884627573357</c:v>
                </c:pt>
              </c:numCache>
            </c:numRef>
          </c:val>
          <c:extLst>
            <c:ext xmlns:c16="http://schemas.microsoft.com/office/drawing/2014/chart" uri="{C3380CC4-5D6E-409C-BE32-E72D297353CC}">
              <c16:uniqueId val="{00000000-D551-45BA-9A9D-AF494291E911}"/>
            </c:ext>
          </c:extLst>
        </c:ser>
        <c:ser>
          <c:idx val="1"/>
          <c:order val="1"/>
          <c:tx>
            <c:strRef>
              <c:f>'contributi LCOH 0,16'!$AI$72</c:f>
              <c:strCache>
                <c:ptCount val="1"/>
                <c:pt idx="0">
                  <c:v>METHANOL TANK</c:v>
                </c:pt>
              </c:strCache>
            </c:strRef>
          </c:tx>
          <c:spPr>
            <a:solidFill>
              <a:schemeClr val="accent2"/>
            </a:solidFill>
            <a:ln>
              <a:noFill/>
            </a:ln>
            <a:effectLst/>
          </c:spPr>
          <c:invertIfNegative val="0"/>
          <c:cat>
            <c:strRef>
              <c:f>'contributi LCOH 0,16'!$AG$73:$AG$75</c:f>
              <c:strCache>
                <c:ptCount val="3"/>
                <c:pt idx="0">
                  <c:v>LCOH1</c:v>
                </c:pt>
                <c:pt idx="1">
                  <c:v>LCOH2</c:v>
                </c:pt>
                <c:pt idx="2">
                  <c:v>LCOH3</c:v>
                </c:pt>
              </c:strCache>
            </c:strRef>
          </c:cat>
          <c:val>
            <c:numRef>
              <c:f>'contributi LCOH 0,16'!$AI$73:$AI$75</c:f>
              <c:numCache>
                <c:formatCode>0.000</c:formatCode>
                <c:ptCount val="3"/>
                <c:pt idx="0">
                  <c:v>3.118826766617442E-2</c:v>
                </c:pt>
                <c:pt idx="1">
                  <c:v>4.6685163150184394E-2</c:v>
                </c:pt>
                <c:pt idx="2" formatCode="0.00">
                  <c:v>3.118826766617442E-2</c:v>
                </c:pt>
              </c:numCache>
            </c:numRef>
          </c:val>
          <c:extLst>
            <c:ext xmlns:c16="http://schemas.microsoft.com/office/drawing/2014/chart" uri="{C3380CC4-5D6E-409C-BE32-E72D297353CC}">
              <c16:uniqueId val="{00000001-D551-45BA-9A9D-AF494291E911}"/>
            </c:ext>
          </c:extLst>
        </c:ser>
        <c:ser>
          <c:idx val="2"/>
          <c:order val="2"/>
          <c:tx>
            <c:strRef>
              <c:f>'contributi LCOH 0,16'!$AJ$72</c:f>
              <c:strCache>
                <c:ptCount val="1"/>
                <c:pt idx="0">
                  <c:v>H2 STORAGE</c:v>
                </c:pt>
              </c:strCache>
            </c:strRef>
          </c:tx>
          <c:spPr>
            <a:solidFill>
              <a:schemeClr val="accent3"/>
            </a:solidFill>
            <a:ln>
              <a:noFill/>
            </a:ln>
            <a:effectLst/>
          </c:spPr>
          <c:invertIfNegative val="0"/>
          <c:cat>
            <c:strRef>
              <c:f>'contributi LCOH 0,16'!$AG$73:$AG$75</c:f>
              <c:strCache>
                <c:ptCount val="3"/>
                <c:pt idx="0">
                  <c:v>LCOH1</c:v>
                </c:pt>
                <c:pt idx="1">
                  <c:v>LCOH2</c:v>
                </c:pt>
                <c:pt idx="2">
                  <c:v>LCOH3</c:v>
                </c:pt>
              </c:strCache>
            </c:strRef>
          </c:cat>
          <c:val>
            <c:numRef>
              <c:f>'contributi LCOH 0,16'!$AJ$73:$AJ$75</c:f>
              <c:numCache>
                <c:formatCode>0.000</c:formatCode>
                <c:ptCount val="3"/>
                <c:pt idx="0">
                  <c:v>0.45467160603468931</c:v>
                </c:pt>
                <c:pt idx="1">
                  <c:v>0.68058984021440794</c:v>
                </c:pt>
                <c:pt idx="2" formatCode="0.00">
                  <c:v>0.45467160603468931</c:v>
                </c:pt>
              </c:numCache>
            </c:numRef>
          </c:val>
          <c:extLst>
            <c:ext xmlns:c16="http://schemas.microsoft.com/office/drawing/2014/chart" uri="{C3380CC4-5D6E-409C-BE32-E72D297353CC}">
              <c16:uniqueId val="{00000002-D551-45BA-9A9D-AF494291E911}"/>
            </c:ext>
          </c:extLst>
        </c:ser>
        <c:ser>
          <c:idx val="3"/>
          <c:order val="3"/>
          <c:tx>
            <c:strRef>
              <c:f>'contributi LCOH 0,16'!$AK$72</c:f>
              <c:strCache>
                <c:ptCount val="1"/>
                <c:pt idx="0">
                  <c:v>DECOMMISIONING &amp; REPLACEMENT</c:v>
                </c:pt>
              </c:strCache>
            </c:strRef>
          </c:tx>
          <c:spPr>
            <a:solidFill>
              <a:schemeClr val="accent4"/>
            </a:solidFill>
            <a:ln>
              <a:noFill/>
            </a:ln>
            <a:effectLst/>
          </c:spPr>
          <c:invertIfNegative val="0"/>
          <c:cat>
            <c:strRef>
              <c:f>'contributi LCOH 0,16'!$AG$73:$AG$75</c:f>
              <c:strCache>
                <c:ptCount val="3"/>
                <c:pt idx="0">
                  <c:v>LCOH1</c:v>
                </c:pt>
                <c:pt idx="1">
                  <c:v>LCOH2</c:v>
                </c:pt>
                <c:pt idx="2">
                  <c:v>LCOH3</c:v>
                </c:pt>
              </c:strCache>
            </c:strRef>
          </c:cat>
          <c:val>
            <c:numRef>
              <c:f>'contributi LCOH 0,16'!$AK$73:$AK$75</c:f>
              <c:numCache>
                <c:formatCode>0.00</c:formatCode>
                <c:ptCount val="3"/>
                <c:pt idx="0" formatCode="0.000">
                  <c:v>1.4007565388272007</c:v>
                </c:pt>
                <c:pt idx="1">
                  <c:v>1.2147241638856254</c:v>
                </c:pt>
                <c:pt idx="2">
                  <c:v>0.81150283746379437</c:v>
                </c:pt>
              </c:numCache>
            </c:numRef>
          </c:val>
          <c:extLst>
            <c:ext xmlns:c16="http://schemas.microsoft.com/office/drawing/2014/chart" uri="{C3380CC4-5D6E-409C-BE32-E72D297353CC}">
              <c16:uniqueId val="{00000003-D551-45BA-9A9D-AF494291E911}"/>
            </c:ext>
          </c:extLst>
        </c:ser>
        <c:ser>
          <c:idx val="4"/>
          <c:order val="4"/>
          <c:tx>
            <c:strRef>
              <c:f>'contributi LCOH 0,16'!$AL$72</c:f>
              <c:strCache>
                <c:ptCount val="1"/>
                <c:pt idx="0">
                  <c:v>METHANOL</c:v>
                </c:pt>
              </c:strCache>
            </c:strRef>
          </c:tx>
          <c:spPr>
            <a:solidFill>
              <a:schemeClr val="accent5"/>
            </a:solidFill>
            <a:ln>
              <a:noFill/>
            </a:ln>
            <a:effectLst/>
          </c:spPr>
          <c:invertIfNegative val="0"/>
          <c:cat>
            <c:strRef>
              <c:f>'contributi LCOH 0,16'!$AG$73:$AG$75</c:f>
              <c:strCache>
                <c:ptCount val="3"/>
                <c:pt idx="0">
                  <c:v>LCOH1</c:v>
                </c:pt>
                <c:pt idx="1">
                  <c:v>LCOH2</c:v>
                </c:pt>
                <c:pt idx="2">
                  <c:v>LCOH3</c:v>
                </c:pt>
              </c:strCache>
            </c:strRef>
          </c:cat>
          <c:val>
            <c:numRef>
              <c:f>'contributi LCOH 0,16'!$AL$73:$AL$75</c:f>
              <c:numCache>
                <c:formatCode>0.00</c:formatCode>
                <c:ptCount val="3"/>
                <c:pt idx="0" formatCode="0.000">
                  <c:v>1.6211473716630753</c:v>
                </c:pt>
                <c:pt idx="1">
                  <c:v>2.4266666666666676</c:v>
                </c:pt>
                <c:pt idx="2">
                  <c:v>1.6211473716630753</c:v>
                </c:pt>
              </c:numCache>
            </c:numRef>
          </c:val>
          <c:extLst>
            <c:ext xmlns:c16="http://schemas.microsoft.com/office/drawing/2014/chart" uri="{C3380CC4-5D6E-409C-BE32-E72D297353CC}">
              <c16:uniqueId val="{00000004-D551-45BA-9A9D-AF494291E911}"/>
            </c:ext>
          </c:extLst>
        </c:ser>
        <c:ser>
          <c:idx val="5"/>
          <c:order val="5"/>
          <c:tx>
            <c:strRef>
              <c:f>'contributi LCOH 0,16'!$AM$72</c:f>
              <c:strCache>
                <c:ptCount val="1"/>
                <c:pt idx="0">
                  <c:v>ELECTRICITY</c:v>
                </c:pt>
              </c:strCache>
            </c:strRef>
          </c:tx>
          <c:spPr>
            <a:solidFill>
              <a:schemeClr val="accent6"/>
            </a:solidFill>
            <a:ln>
              <a:noFill/>
            </a:ln>
            <a:effectLst/>
          </c:spPr>
          <c:invertIfNegative val="0"/>
          <c:cat>
            <c:strRef>
              <c:f>'contributi LCOH 0,16'!$AG$73:$AG$75</c:f>
              <c:strCache>
                <c:ptCount val="3"/>
                <c:pt idx="0">
                  <c:v>LCOH1</c:v>
                </c:pt>
                <c:pt idx="1">
                  <c:v>LCOH2</c:v>
                </c:pt>
                <c:pt idx="2">
                  <c:v>LCOH3</c:v>
                </c:pt>
              </c:strCache>
            </c:strRef>
          </c:cat>
          <c:val>
            <c:numRef>
              <c:f>'contributi LCOH 0,16'!$AM$73:$AM$75</c:f>
              <c:numCache>
                <c:formatCode>0.00</c:formatCode>
                <c:ptCount val="3"/>
                <c:pt idx="0" formatCode="0.000">
                  <c:v>2.8982902974299511</c:v>
                </c:pt>
                <c:pt idx="1">
                  <c:v>4.3383991967871491</c:v>
                </c:pt>
                <c:pt idx="2">
                  <c:v>2.8982902974299511</c:v>
                </c:pt>
              </c:numCache>
            </c:numRef>
          </c:val>
          <c:extLst>
            <c:ext xmlns:c16="http://schemas.microsoft.com/office/drawing/2014/chart" uri="{C3380CC4-5D6E-409C-BE32-E72D297353CC}">
              <c16:uniqueId val="{00000005-D551-45BA-9A9D-AF494291E911}"/>
            </c:ext>
          </c:extLst>
        </c:ser>
        <c:ser>
          <c:idx val="6"/>
          <c:order val="6"/>
          <c:tx>
            <c:strRef>
              <c:f>'contributi LCOH 0,16'!$AN$72</c:f>
              <c:strCache>
                <c:ptCount val="1"/>
                <c:pt idx="0">
                  <c:v>O&amp;M+CO2</c:v>
                </c:pt>
              </c:strCache>
            </c:strRef>
          </c:tx>
          <c:spPr>
            <a:solidFill>
              <a:schemeClr val="accent1">
                <a:lumMod val="60000"/>
              </a:schemeClr>
            </a:solidFill>
            <a:ln>
              <a:noFill/>
            </a:ln>
            <a:effectLst/>
          </c:spPr>
          <c:invertIfNegative val="0"/>
          <c:cat>
            <c:strRef>
              <c:f>'contributi LCOH 0,16'!$AG$73:$AG$75</c:f>
              <c:strCache>
                <c:ptCount val="3"/>
                <c:pt idx="0">
                  <c:v>LCOH1</c:v>
                </c:pt>
                <c:pt idx="1">
                  <c:v>LCOH2</c:v>
                </c:pt>
                <c:pt idx="2">
                  <c:v>LCOH3</c:v>
                </c:pt>
              </c:strCache>
            </c:strRef>
          </c:cat>
          <c:val>
            <c:numRef>
              <c:f>'contributi LCOH 0,16'!$AN$73:$AN$75</c:f>
              <c:numCache>
                <c:formatCode>0.00</c:formatCode>
                <c:ptCount val="3"/>
                <c:pt idx="0" formatCode="0.000">
                  <c:v>0.43856343039294582</c:v>
                </c:pt>
                <c:pt idx="1">
                  <c:v>0.65647779859876465</c:v>
                </c:pt>
                <c:pt idx="2">
                  <c:v>0.43856343039294582</c:v>
                </c:pt>
              </c:numCache>
            </c:numRef>
          </c:val>
          <c:extLst>
            <c:ext xmlns:c16="http://schemas.microsoft.com/office/drawing/2014/chart" uri="{C3380CC4-5D6E-409C-BE32-E72D297353CC}">
              <c16:uniqueId val="{00000006-D551-45BA-9A9D-AF494291E911}"/>
            </c:ext>
          </c:extLst>
        </c:ser>
        <c:dLbls>
          <c:showLegendKey val="0"/>
          <c:showVal val="0"/>
          <c:showCatName val="0"/>
          <c:showSerName val="0"/>
          <c:showPercent val="0"/>
          <c:showBubbleSize val="0"/>
        </c:dLbls>
        <c:gapWidth val="150"/>
        <c:overlap val="100"/>
        <c:axId val="1483647071"/>
        <c:axId val="1827113647"/>
      </c:barChart>
      <c:catAx>
        <c:axId val="148364707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crossAx val="1827113647"/>
        <c:crosses val="autoZero"/>
        <c:auto val="1"/>
        <c:lblAlgn val="ctr"/>
        <c:lblOffset val="100"/>
        <c:noMultiLvlLbl val="0"/>
      </c:catAx>
      <c:valAx>
        <c:axId val="1827113647"/>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it-IT" b="1"/>
                  <a:t>€/kg</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it-IT"/>
            </a:p>
          </c:txPr>
        </c:title>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crossAx val="1483647071"/>
        <c:crosses val="autoZero"/>
        <c:crossBetween val="between"/>
      </c:valAx>
      <c:spPr>
        <a:noFill/>
        <a:ln>
          <a:noFill/>
        </a:ln>
        <a:effectLst/>
      </c:spPr>
    </c:plotArea>
    <c:legend>
      <c:legendPos val="b"/>
      <c:layout>
        <c:manualLayout>
          <c:xMode val="edge"/>
          <c:yMode val="edge"/>
          <c:x val="6.4660958867170187E-2"/>
          <c:y val="0.79742708333333334"/>
          <c:w val="0.9188083061513691"/>
          <c:h val="0.18052430555555554"/>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en-US" sz="2000" b="1"/>
              <a:t>Cost distribution</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it-I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1.3509252097052711E-2"/>
          <c:y val="0.12251961251436776"/>
          <c:w val="0.97298149580589455"/>
          <c:h val="0.65287182525377685"/>
        </c:manualLayout>
      </c:layout>
      <c:pie3DChart>
        <c:varyColors val="1"/>
        <c:ser>
          <c:idx val="0"/>
          <c:order val="0"/>
          <c:dPt>
            <c:idx val="0"/>
            <c:bubble3D val="0"/>
            <c:spPr>
              <a:solidFill>
                <a:srgbClr val="00B050"/>
              </a:solidFill>
              <a:ln w="25400">
                <a:solidFill>
                  <a:schemeClr val="lt1"/>
                </a:solidFill>
              </a:ln>
              <a:effectLst/>
              <a:sp3d contourW="25400">
                <a:contourClr>
                  <a:schemeClr val="lt1"/>
                </a:contourClr>
              </a:sp3d>
            </c:spPr>
            <c:extLst>
              <c:ext xmlns:c16="http://schemas.microsoft.com/office/drawing/2014/chart" uri="{C3380CC4-5D6E-409C-BE32-E72D297353CC}">
                <c16:uniqueId val="{00000001-C336-4DDD-9F16-8214944E97A8}"/>
              </c:ext>
            </c:extLst>
          </c:dPt>
          <c:dPt>
            <c:idx val="1"/>
            <c:bubble3D val="0"/>
            <c:spPr>
              <a:solidFill>
                <a:srgbClr val="00B0F0"/>
              </a:solidFill>
              <a:ln w="25400">
                <a:solidFill>
                  <a:schemeClr val="lt1"/>
                </a:solidFill>
              </a:ln>
              <a:effectLst/>
              <a:sp3d contourW="25400">
                <a:contourClr>
                  <a:schemeClr val="lt1"/>
                </a:contourClr>
              </a:sp3d>
            </c:spPr>
            <c:extLst>
              <c:ext xmlns:c16="http://schemas.microsoft.com/office/drawing/2014/chart" uri="{C3380CC4-5D6E-409C-BE32-E72D297353CC}">
                <c16:uniqueId val="{00000003-C336-4DDD-9F16-8214944E97A8}"/>
              </c:ext>
            </c:extLst>
          </c:dPt>
          <c:dPt>
            <c:idx val="2"/>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5-C336-4DDD-9F16-8214944E97A8}"/>
              </c:ext>
            </c:extLst>
          </c:dPt>
          <c:dPt>
            <c:idx val="3"/>
            <c:bubble3D val="0"/>
            <c:spPr>
              <a:solidFill>
                <a:srgbClr val="FFFF00"/>
              </a:solidFill>
              <a:ln w="25400">
                <a:solidFill>
                  <a:schemeClr val="lt1"/>
                </a:solidFill>
              </a:ln>
              <a:effectLst/>
              <a:sp3d contourW="25400">
                <a:contourClr>
                  <a:schemeClr val="lt1"/>
                </a:contourClr>
              </a:sp3d>
            </c:spPr>
            <c:extLst>
              <c:ext xmlns:c16="http://schemas.microsoft.com/office/drawing/2014/chart" uri="{C3380CC4-5D6E-409C-BE32-E72D297353CC}">
                <c16:uniqueId val="{00000007-C336-4DDD-9F16-8214944E97A8}"/>
              </c:ext>
            </c:extLst>
          </c:dPt>
          <c:dPt>
            <c:idx val="4"/>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9-C336-4DDD-9F16-8214944E97A8}"/>
              </c:ext>
            </c:extLst>
          </c:dPt>
          <c:dPt>
            <c:idx val="5"/>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B-C336-4DDD-9F16-8214944E97A8}"/>
              </c:ext>
            </c:extLst>
          </c:dPt>
          <c:dLbls>
            <c:dLbl>
              <c:idx val="1"/>
              <c:layout>
                <c:manualLayout>
                  <c:x val="-0.13611129077695827"/>
                  <c:y val="-0.10838751367209613"/>
                </c:manualLayout>
              </c:layout>
              <c:tx>
                <c:rich>
                  <a:bodyPr rot="0" spcFirstLastPara="1" vertOverflow="ellipsis" vert="horz" wrap="square" lIns="38100" tIns="19050" rIns="38100" bIns="19050" anchor="ctr" anchorCtr="1">
                    <a:noAutofit/>
                  </a:bodyPr>
                  <a:lstStyle/>
                  <a:p>
                    <a:pPr>
                      <a:defRPr sz="1200" b="1" i="0" u="none" strike="noStrike" kern="1200" baseline="0">
                        <a:solidFill>
                          <a:schemeClr val="tx1">
                            <a:lumMod val="75000"/>
                            <a:lumOff val="25000"/>
                          </a:schemeClr>
                        </a:solidFill>
                        <a:latin typeface="+mn-lt"/>
                        <a:ea typeface="+mn-ea"/>
                        <a:cs typeface="+mn-cs"/>
                      </a:defRPr>
                    </a:pPr>
                    <a:fld id="{6B6E2BF8-46FC-4C31-AA9A-FB3B3469E9FA}" type="CATEGORYNAME">
                      <a:rPr lang="en-US"/>
                      <a:pPr>
                        <a:defRPr sz="1200" b="1"/>
                      </a:pPr>
                      <a:t>[NOME CATEGORIA]</a:t>
                    </a:fld>
                    <a:endParaRPr lang="en-US"/>
                  </a:p>
                  <a:p>
                    <a:pPr>
                      <a:defRPr sz="1200" b="1"/>
                    </a:pPr>
                    <a:r>
                      <a:rPr lang="en-US"/>
                      <a:t> </a:t>
                    </a:r>
                    <a:fld id="{49DDB8A6-8F94-4DEB-8C12-0C0BE70388E5}" type="PERCENTAGE">
                      <a:rPr lang="en-US" baseline="0"/>
                      <a:pPr>
                        <a:defRPr sz="1200" b="1"/>
                      </a:pPr>
                      <a:t>[PERCENTUALE]</a:t>
                    </a:fld>
                    <a:endParaRPr lang="en-US"/>
                  </a:p>
                </c:rich>
              </c:tx>
              <c:spPr>
                <a:noFill/>
                <a:ln>
                  <a:noFill/>
                </a:ln>
                <a:effectLst/>
              </c:spPr>
              <c:txPr>
                <a:bodyPr rot="0" spcFirstLastPara="1" vertOverflow="ellipsis" vert="horz" wrap="square" lIns="38100" tIns="19050" rIns="38100" bIns="19050" anchor="ctr" anchorCtr="1">
                  <a:noAutofit/>
                </a:bodyPr>
                <a:lstStyle/>
                <a:p>
                  <a:pPr>
                    <a:defRPr sz="1200" b="1" i="0" u="none" strike="noStrike" kern="1200" baseline="0">
                      <a:solidFill>
                        <a:schemeClr val="tx1">
                          <a:lumMod val="75000"/>
                          <a:lumOff val="25000"/>
                        </a:schemeClr>
                      </a:solidFill>
                      <a:latin typeface="+mn-lt"/>
                      <a:ea typeface="+mn-ea"/>
                      <a:cs typeface="+mn-cs"/>
                    </a:defRPr>
                  </a:pPr>
                  <a:endParaRPr lang="it-IT"/>
                </a:p>
              </c:txPr>
              <c:dLblPos val="bestFit"/>
              <c:showLegendKey val="0"/>
              <c:showVal val="0"/>
              <c:showCatName val="1"/>
              <c:showSerName val="0"/>
              <c:showPercent val="1"/>
              <c:showBubbleSize val="0"/>
              <c:extLst>
                <c:ext xmlns:c15="http://schemas.microsoft.com/office/drawing/2012/chart" uri="{CE6537A1-D6FC-4f65-9D91-7224C49458BB}">
                  <c15:layout>
                    <c:manualLayout>
                      <c:w val="0.27550350480459962"/>
                      <c:h val="0.12760481444716512"/>
                    </c:manualLayout>
                  </c15:layout>
                  <c15:dlblFieldTable/>
                  <c15:showDataLabelsRange val="0"/>
                </c:ext>
                <c:ext xmlns:c16="http://schemas.microsoft.com/office/drawing/2014/chart" uri="{C3380CC4-5D6E-409C-BE32-E72D297353CC}">
                  <c16:uniqueId val="{00000003-C336-4DDD-9F16-8214944E97A8}"/>
                </c:ext>
              </c:extLst>
            </c:dLbl>
            <c:dLbl>
              <c:idx val="2"/>
              <c:layout>
                <c:manualLayout>
                  <c:x val="-0.13016037035719646"/>
                  <c:y val="-0.24279985835612816"/>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C336-4DDD-9F16-8214944E97A8}"/>
                </c:ext>
              </c:extLst>
            </c:dLbl>
            <c:dLbl>
              <c:idx val="3"/>
              <c:layout>
                <c:manualLayout>
                  <c:x val="1.7960632538232293E-2"/>
                  <c:y val="-0.22382429532279965"/>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C336-4DDD-9F16-8214944E97A8}"/>
                </c:ext>
              </c:extLst>
            </c:dLbl>
            <c:dLbl>
              <c:idx val="4"/>
              <c:layout>
                <c:manualLayout>
                  <c:x val="0.11219000571954621"/>
                  <c:y val="-0.30064591559869069"/>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C336-4DDD-9F16-8214944E97A8}"/>
                </c:ext>
              </c:extLst>
            </c:dLbl>
            <c:dLbl>
              <c:idx val="5"/>
              <c:layout>
                <c:manualLayout>
                  <c:x val="0.13781686273114915"/>
                  <c:y val="5.3955524079139583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C336-4DDD-9F16-8214944E97A8}"/>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it-IT"/>
              </a:p>
            </c:txPr>
            <c:dLblPos val="in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'contributi LCOH 0,24'!$I$25:$O$25</c15:sqref>
                  </c15:fullRef>
                </c:ext>
              </c:extLst>
              <c:f>('contributi LCOH 0,24'!$I$25,'contributi LCOH 0,24'!$K$25:$O$25)</c:f>
              <c:strCache>
                <c:ptCount val="6"/>
                <c:pt idx="0">
                  <c:v>ELECTRICITY COST [M€]</c:v>
                </c:pt>
                <c:pt idx="1">
                  <c:v>MAINTENAINCE AND CO2 CAPTURE AND STORAGE [M€]</c:v>
                </c:pt>
                <c:pt idx="2">
                  <c:v>METHANOL COST [M€]</c:v>
                </c:pt>
                <c:pt idx="3">
                  <c:v>DECOMISSIONING [M€]</c:v>
                </c:pt>
                <c:pt idx="4">
                  <c:v>STACK SUBSTITUTION [M€]</c:v>
                </c:pt>
                <c:pt idx="5">
                  <c:v>FIXED COST [M€]</c:v>
                </c:pt>
              </c:strCache>
            </c:strRef>
          </c:cat>
          <c:val>
            <c:numRef>
              <c:extLst>
                <c:ext xmlns:c15="http://schemas.microsoft.com/office/drawing/2012/chart" uri="{02D57815-91ED-43cb-92C2-25804820EDAC}">
                  <c15:fullRef>
                    <c15:sqref>'contributi LCOH 0,24'!$I$26:$O$26</c15:sqref>
                  </c15:fullRef>
                </c:ext>
              </c:extLst>
              <c:f>('contributi LCOH 0,24'!$I$26,'contributi LCOH 0,24'!$K$26:$O$26)</c:f>
              <c:numCache>
                <c:formatCode>0.0000</c:formatCode>
                <c:ptCount val="6"/>
                <c:pt idx="0" formatCode="0.000">
                  <c:v>46.27558273653262</c:v>
                </c:pt>
                <c:pt idx="1">
                  <c:v>4.6682184381513157</c:v>
                </c:pt>
                <c:pt idx="2" formatCode="0.000">
                  <c:v>17.256044455365139</c:v>
                </c:pt>
                <c:pt idx="3" formatCode="0.000">
                  <c:v>3.3202633386189007</c:v>
                </c:pt>
                <c:pt idx="4" formatCode="General">
                  <c:v>6.6405266772378013</c:v>
                </c:pt>
                <c:pt idx="5" formatCode="0.000">
                  <c:v>36.657586509675355</c:v>
                </c:pt>
              </c:numCache>
            </c:numRef>
          </c:val>
          <c:extLst>
            <c:ext xmlns:c15="http://schemas.microsoft.com/office/drawing/2012/chart" uri="{02D57815-91ED-43cb-92C2-25804820EDAC}">
              <c15:categoryFilterExceptions>
                <c15:categoryFilterException>
                  <c15:sqref>'contributi LCOH 0,24'!$J$26</c15:sqref>
                  <c15:spPr xmlns:c15="http://schemas.microsoft.com/office/drawing/2012/chart">
                    <a:solidFill>
                      <a:schemeClr val="accent2"/>
                    </a:solidFill>
                    <a:ln w="25400">
                      <a:solidFill>
                        <a:schemeClr val="lt1"/>
                      </a:solidFill>
                    </a:ln>
                    <a:effectLst/>
                    <a:sp3d contourW="25400">
                      <a:contourClr>
                        <a:schemeClr val="lt1"/>
                      </a:contourClr>
                    </a:sp3d>
                  </c15:spPr>
                  <c15:bubble3D val="0"/>
                  <c15:dLbl>
                    <c:idx val="0"/>
                    <c:layout>
                      <c:manualLayout>
                        <c:x val="-0.10745921534273109"/>
                        <c:y val="-0.11453589433724029"/>
                      </c:manualLayout>
                    </c:layout>
                    <c:dLblPos val="bestFit"/>
                    <c:showLegendKey val="0"/>
                    <c:showVal val="0"/>
                    <c:showCatName val="1"/>
                    <c:showSerName val="0"/>
                    <c:showPercent val="1"/>
                    <c:showBubbleSize val="0"/>
                    <c:extLst>
                      <c:ext uri="{CE6537A1-D6FC-4f65-9D91-7224C49458BB}"/>
                      <c:ext xmlns:c16="http://schemas.microsoft.com/office/drawing/2014/chart" uri="{C3380CC4-5D6E-409C-BE32-E72D297353CC}">
                        <c16:uniqueId val="{0000000D-0844-4F15-AF51-BDE7F1804C36}"/>
                      </c:ext>
                    </c:extLst>
                  </c15:dLbl>
                </c15:categoryFilterException>
              </c15:categoryFilterExceptions>
            </c:ext>
            <c:ext xmlns:c16="http://schemas.microsoft.com/office/drawing/2014/chart" uri="{C3380CC4-5D6E-409C-BE32-E72D297353CC}">
              <c16:uniqueId val="{0000000C-C336-4DDD-9F16-8214944E97A8}"/>
            </c:ext>
          </c:extLst>
        </c:ser>
        <c:dLbls>
          <c:dLblPos val="inEnd"/>
          <c:showLegendKey val="0"/>
          <c:showVal val="0"/>
          <c:showCatName val="1"/>
          <c:showSerName val="0"/>
          <c:showPercent val="0"/>
          <c:showBubbleSize val="0"/>
          <c:showLeaderLines val="1"/>
        </c:dLbls>
      </c:pie3DChart>
      <c:spPr>
        <a:noFill/>
        <a:ln>
          <a:noFill/>
        </a:ln>
        <a:effectLst/>
      </c:spPr>
    </c:plotArea>
    <c:legend>
      <c:legendPos val="r"/>
      <c:layout>
        <c:manualLayout>
          <c:xMode val="edge"/>
          <c:yMode val="edge"/>
          <c:x val="5.9320798900615737E-3"/>
          <c:y val="0.78770328115437638"/>
          <c:w val="0.99038357862892401"/>
          <c:h val="0.21076599637903207"/>
        </c:manualLayout>
      </c:layout>
      <c:overlay val="0"/>
      <c:spPr>
        <a:noFill/>
        <a:ln>
          <a:solidFill>
            <a:schemeClr val="tx1">
              <a:alpha val="92000"/>
            </a:schemeClr>
          </a:solid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bg1"/>
      </a:solidFill>
      <a:round/>
    </a:ln>
    <a:effectLst/>
  </c:spPr>
  <c:txPr>
    <a:bodyPr/>
    <a:lstStyle/>
    <a:p>
      <a:pPr>
        <a:defRPr/>
      </a:pPr>
      <a:endParaRPr lang="it-IT"/>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LCOH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manualLayout>
          <c:layoutTarget val="inner"/>
          <c:xMode val="edge"/>
          <c:yMode val="edge"/>
          <c:x val="5.3703363014202664E-2"/>
          <c:y val="0.12855457298606907"/>
          <c:w val="0.91592280521009639"/>
          <c:h val="0.63351689884918228"/>
        </c:manualLayout>
      </c:layout>
      <c:barChart>
        <c:barDir val="col"/>
        <c:grouping val="stacked"/>
        <c:varyColors val="0"/>
        <c:ser>
          <c:idx val="0"/>
          <c:order val="0"/>
          <c:tx>
            <c:strRef>
              <c:f>'contributi LCOH 0,24'!$W$61</c:f>
              <c:strCache>
                <c:ptCount val="1"/>
                <c:pt idx="0">
                  <c:v>ELECTROLYSER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0,24'!$W$62</c:f>
              <c:numCache>
                <c:formatCode>0.000</c:formatCode>
                <c:ptCount val="1"/>
                <c:pt idx="0">
                  <c:v>4.6691884627573357</c:v>
                </c:pt>
              </c:numCache>
            </c:numRef>
          </c:val>
          <c:extLst>
            <c:ext xmlns:c16="http://schemas.microsoft.com/office/drawing/2014/chart" uri="{C3380CC4-5D6E-409C-BE32-E72D297353CC}">
              <c16:uniqueId val="{00000000-0B3A-4F2E-94AA-F63E9EADEC57}"/>
            </c:ext>
          </c:extLst>
        </c:ser>
        <c:ser>
          <c:idx val="1"/>
          <c:order val="1"/>
          <c:tx>
            <c:strRef>
              <c:f>'contributi LCOH 0,24'!$X$61</c:f>
              <c:strCache>
                <c:ptCount val="1"/>
                <c:pt idx="0">
                  <c:v>METHANOL TANK</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0,24'!$X$62</c:f>
              <c:numCache>
                <c:formatCode>0.000</c:formatCode>
                <c:ptCount val="1"/>
                <c:pt idx="0">
                  <c:v>3.118826766617442E-2</c:v>
                </c:pt>
              </c:numCache>
            </c:numRef>
          </c:val>
          <c:extLst>
            <c:ext xmlns:c16="http://schemas.microsoft.com/office/drawing/2014/chart" uri="{C3380CC4-5D6E-409C-BE32-E72D297353CC}">
              <c16:uniqueId val="{00000001-0B3A-4F2E-94AA-F63E9EADEC57}"/>
            </c:ext>
          </c:extLst>
        </c:ser>
        <c:ser>
          <c:idx val="2"/>
          <c:order val="2"/>
          <c:tx>
            <c:strRef>
              <c:f>'contributi LCOH 0,24'!$Y$61</c:f>
              <c:strCache>
                <c:ptCount val="1"/>
                <c:pt idx="0">
                  <c:v>H2 STORAGE</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0,24'!$Y$62</c:f>
              <c:numCache>
                <c:formatCode>0.000</c:formatCode>
                <c:ptCount val="1"/>
                <c:pt idx="0">
                  <c:v>0.45467160603468931</c:v>
                </c:pt>
              </c:numCache>
            </c:numRef>
          </c:val>
          <c:extLst>
            <c:ext xmlns:c16="http://schemas.microsoft.com/office/drawing/2014/chart" uri="{C3380CC4-5D6E-409C-BE32-E72D297353CC}">
              <c16:uniqueId val="{00000002-0B3A-4F2E-94AA-F63E9EADEC57}"/>
            </c:ext>
          </c:extLst>
        </c:ser>
        <c:ser>
          <c:idx val="3"/>
          <c:order val="3"/>
          <c:tx>
            <c:strRef>
              <c:f>'contributi LCOH 0,24'!$Z$61</c:f>
              <c:strCache>
                <c:ptCount val="1"/>
                <c:pt idx="0">
                  <c:v>DECOM.+REPLACE.</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0,24'!$Z$62</c:f>
              <c:numCache>
                <c:formatCode>0.000</c:formatCode>
                <c:ptCount val="1"/>
                <c:pt idx="0">
                  <c:v>1.4007565388272007</c:v>
                </c:pt>
              </c:numCache>
            </c:numRef>
          </c:val>
          <c:extLst>
            <c:ext xmlns:c16="http://schemas.microsoft.com/office/drawing/2014/chart" uri="{C3380CC4-5D6E-409C-BE32-E72D297353CC}">
              <c16:uniqueId val="{00000003-0B3A-4F2E-94AA-F63E9EADEC57}"/>
            </c:ext>
          </c:extLst>
        </c:ser>
        <c:ser>
          <c:idx val="4"/>
          <c:order val="4"/>
          <c:tx>
            <c:strRef>
              <c:f>'contributi LCOH 0,24'!$AA$61</c:f>
              <c:strCache>
                <c:ptCount val="1"/>
                <c:pt idx="0">
                  <c:v>METHANOL</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0,24'!$AA$62</c:f>
              <c:numCache>
                <c:formatCode>0.000</c:formatCode>
                <c:ptCount val="1"/>
                <c:pt idx="0">
                  <c:v>1.6211473716630753</c:v>
                </c:pt>
              </c:numCache>
            </c:numRef>
          </c:val>
          <c:extLst>
            <c:ext xmlns:c16="http://schemas.microsoft.com/office/drawing/2014/chart" uri="{C3380CC4-5D6E-409C-BE32-E72D297353CC}">
              <c16:uniqueId val="{00000004-0B3A-4F2E-94AA-F63E9EADEC57}"/>
            </c:ext>
          </c:extLst>
        </c:ser>
        <c:ser>
          <c:idx val="5"/>
          <c:order val="5"/>
          <c:tx>
            <c:strRef>
              <c:f>'contributi LCOH 0,24'!$AB$61</c:f>
              <c:strCache>
                <c:ptCount val="1"/>
                <c:pt idx="0">
                  <c:v>ELECTRICITY</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0,24'!$AB$62</c:f>
              <c:numCache>
                <c:formatCode>0.000</c:formatCode>
                <c:ptCount val="1"/>
                <c:pt idx="0">
                  <c:v>4.3474354461449263</c:v>
                </c:pt>
              </c:numCache>
            </c:numRef>
          </c:val>
          <c:extLst>
            <c:ext xmlns:c16="http://schemas.microsoft.com/office/drawing/2014/chart" uri="{C3380CC4-5D6E-409C-BE32-E72D297353CC}">
              <c16:uniqueId val="{00000005-0B3A-4F2E-94AA-F63E9EADEC57}"/>
            </c:ext>
          </c:extLst>
        </c:ser>
        <c:ser>
          <c:idx val="6"/>
          <c:order val="6"/>
          <c:tx>
            <c:strRef>
              <c:f>'contributi LCOH 0,24'!$AC$61</c:f>
              <c:strCache>
                <c:ptCount val="1"/>
                <c:pt idx="0">
                  <c:v>O&amp;M+CO2</c:v>
                </c:pt>
              </c:strCache>
            </c:strRef>
          </c:tx>
          <c:spPr>
            <a:solidFill>
              <a:schemeClr val="accent1">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0,24'!$AC$62</c:f>
              <c:numCache>
                <c:formatCode>0.000</c:formatCode>
                <c:ptCount val="1"/>
                <c:pt idx="0">
                  <c:v>0.43856343039294582</c:v>
                </c:pt>
              </c:numCache>
            </c:numRef>
          </c:val>
          <c:extLst>
            <c:ext xmlns:c16="http://schemas.microsoft.com/office/drawing/2014/chart" uri="{C3380CC4-5D6E-409C-BE32-E72D297353CC}">
              <c16:uniqueId val="{00000006-0B3A-4F2E-94AA-F63E9EADEC57}"/>
            </c:ext>
          </c:extLst>
        </c:ser>
        <c:dLbls>
          <c:dLblPos val="ctr"/>
          <c:showLegendKey val="0"/>
          <c:showVal val="1"/>
          <c:showCatName val="0"/>
          <c:showSerName val="0"/>
          <c:showPercent val="0"/>
          <c:showBubbleSize val="0"/>
        </c:dLbls>
        <c:gapWidth val="150"/>
        <c:overlap val="100"/>
        <c:axId val="883218127"/>
        <c:axId val="10863311"/>
      </c:barChart>
      <c:catAx>
        <c:axId val="883218127"/>
        <c:scaling>
          <c:orientation val="minMax"/>
        </c:scaling>
        <c:delete val="0"/>
        <c:axPos val="b"/>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0863311"/>
        <c:crosses val="autoZero"/>
        <c:auto val="1"/>
        <c:lblAlgn val="ctr"/>
        <c:lblOffset val="100"/>
        <c:noMultiLvlLbl val="0"/>
      </c:catAx>
      <c:valAx>
        <c:axId val="10863311"/>
        <c:scaling>
          <c:orientation val="minMax"/>
        </c:scaling>
        <c:delete val="0"/>
        <c:axPos val="l"/>
        <c:majorGridlines>
          <c:spPr>
            <a:ln w="9525" cap="flat" cmpd="sng" algn="ctr">
              <a:solidFill>
                <a:schemeClr val="tx1">
                  <a:lumMod val="15000"/>
                  <a:lumOff val="85000"/>
                </a:schemeClr>
              </a:solidFill>
              <a:round/>
            </a:ln>
            <a:effectLst/>
          </c:spPr>
        </c:majorGridlines>
        <c:title>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8321812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it-IT" b="1"/>
              <a:t>LCOH results</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stacked"/>
        <c:varyColors val="0"/>
        <c:ser>
          <c:idx val="0"/>
          <c:order val="0"/>
          <c:tx>
            <c:strRef>
              <c:f>'contributi LCOH 0,24'!$AH$72</c:f>
              <c:strCache>
                <c:ptCount val="1"/>
                <c:pt idx="0">
                  <c:v>ELECTROLYSER</c:v>
                </c:pt>
              </c:strCache>
            </c:strRef>
          </c:tx>
          <c:spPr>
            <a:solidFill>
              <a:schemeClr val="accent1"/>
            </a:solidFill>
            <a:ln>
              <a:noFill/>
            </a:ln>
            <a:effectLst/>
          </c:spPr>
          <c:invertIfNegative val="0"/>
          <c:cat>
            <c:strRef>
              <c:f>'contributi LCOH 0,24'!$AG$73:$AG$75</c:f>
              <c:strCache>
                <c:ptCount val="3"/>
                <c:pt idx="0">
                  <c:v>LCOH1</c:v>
                </c:pt>
                <c:pt idx="1">
                  <c:v>LCOH2</c:v>
                </c:pt>
                <c:pt idx="2">
                  <c:v>LCOH3</c:v>
                </c:pt>
              </c:strCache>
            </c:strRef>
          </c:cat>
          <c:val>
            <c:numRef>
              <c:f>'contributi LCOH 0,24'!$AH$73:$AH$75</c:f>
              <c:numCache>
                <c:formatCode>0.000</c:formatCode>
                <c:ptCount val="3"/>
                <c:pt idx="0">
                  <c:v>4.6691884627573357</c:v>
                </c:pt>
                <c:pt idx="1">
                  <c:v>6.9892251629993387</c:v>
                </c:pt>
                <c:pt idx="2" formatCode="0.00">
                  <c:v>4.6691884627573357</c:v>
                </c:pt>
              </c:numCache>
            </c:numRef>
          </c:val>
          <c:extLst>
            <c:ext xmlns:c16="http://schemas.microsoft.com/office/drawing/2014/chart" uri="{C3380CC4-5D6E-409C-BE32-E72D297353CC}">
              <c16:uniqueId val="{00000000-CB9D-49BD-AB29-679BB4640B29}"/>
            </c:ext>
          </c:extLst>
        </c:ser>
        <c:ser>
          <c:idx val="1"/>
          <c:order val="1"/>
          <c:tx>
            <c:strRef>
              <c:f>'contributi LCOH 0,24'!$AI$72</c:f>
              <c:strCache>
                <c:ptCount val="1"/>
                <c:pt idx="0">
                  <c:v>METHANOL TANK</c:v>
                </c:pt>
              </c:strCache>
            </c:strRef>
          </c:tx>
          <c:spPr>
            <a:solidFill>
              <a:schemeClr val="accent2"/>
            </a:solidFill>
            <a:ln>
              <a:noFill/>
            </a:ln>
            <a:effectLst/>
          </c:spPr>
          <c:invertIfNegative val="0"/>
          <c:cat>
            <c:strRef>
              <c:f>'contributi LCOH 0,24'!$AG$73:$AG$75</c:f>
              <c:strCache>
                <c:ptCount val="3"/>
                <c:pt idx="0">
                  <c:v>LCOH1</c:v>
                </c:pt>
                <c:pt idx="1">
                  <c:v>LCOH2</c:v>
                </c:pt>
                <c:pt idx="2">
                  <c:v>LCOH3</c:v>
                </c:pt>
              </c:strCache>
            </c:strRef>
          </c:cat>
          <c:val>
            <c:numRef>
              <c:f>'contributi LCOH 0,24'!$AI$73:$AI$75</c:f>
              <c:numCache>
                <c:formatCode>0.000</c:formatCode>
                <c:ptCount val="3"/>
                <c:pt idx="0">
                  <c:v>3.118826766617442E-2</c:v>
                </c:pt>
                <c:pt idx="1">
                  <c:v>4.6685163150184394E-2</c:v>
                </c:pt>
                <c:pt idx="2" formatCode="0.00">
                  <c:v>3.118826766617442E-2</c:v>
                </c:pt>
              </c:numCache>
            </c:numRef>
          </c:val>
          <c:extLst>
            <c:ext xmlns:c16="http://schemas.microsoft.com/office/drawing/2014/chart" uri="{C3380CC4-5D6E-409C-BE32-E72D297353CC}">
              <c16:uniqueId val="{00000001-CB9D-49BD-AB29-679BB4640B29}"/>
            </c:ext>
          </c:extLst>
        </c:ser>
        <c:ser>
          <c:idx val="2"/>
          <c:order val="2"/>
          <c:tx>
            <c:strRef>
              <c:f>'contributi LCOH 0,24'!$AJ$72</c:f>
              <c:strCache>
                <c:ptCount val="1"/>
                <c:pt idx="0">
                  <c:v>H2 STORAGE</c:v>
                </c:pt>
              </c:strCache>
            </c:strRef>
          </c:tx>
          <c:spPr>
            <a:solidFill>
              <a:schemeClr val="accent3"/>
            </a:solidFill>
            <a:ln>
              <a:noFill/>
            </a:ln>
            <a:effectLst/>
          </c:spPr>
          <c:invertIfNegative val="0"/>
          <c:cat>
            <c:strRef>
              <c:f>'contributi LCOH 0,24'!$AG$73:$AG$75</c:f>
              <c:strCache>
                <c:ptCount val="3"/>
                <c:pt idx="0">
                  <c:v>LCOH1</c:v>
                </c:pt>
                <c:pt idx="1">
                  <c:v>LCOH2</c:v>
                </c:pt>
                <c:pt idx="2">
                  <c:v>LCOH3</c:v>
                </c:pt>
              </c:strCache>
            </c:strRef>
          </c:cat>
          <c:val>
            <c:numRef>
              <c:f>'contributi LCOH 0,24'!$AJ$73:$AJ$75</c:f>
              <c:numCache>
                <c:formatCode>0.000</c:formatCode>
                <c:ptCount val="3"/>
                <c:pt idx="0">
                  <c:v>0.45467160603468931</c:v>
                </c:pt>
                <c:pt idx="1">
                  <c:v>0.68058984021440794</c:v>
                </c:pt>
                <c:pt idx="2" formatCode="0.00">
                  <c:v>0.45467160603468931</c:v>
                </c:pt>
              </c:numCache>
            </c:numRef>
          </c:val>
          <c:extLst>
            <c:ext xmlns:c16="http://schemas.microsoft.com/office/drawing/2014/chart" uri="{C3380CC4-5D6E-409C-BE32-E72D297353CC}">
              <c16:uniqueId val="{00000002-CB9D-49BD-AB29-679BB4640B29}"/>
            </c:ext>
          </c:extLst>
        </c:ser>
        <c:ser>
          <c:idx val="3"/>
          <c:order val="3"/>
          <c:tx>
            <c:strRef>
              <c:f>'contributi LCOH 0,24'!$AK$72</c:f>
              <c:strCache>
                <c:ptCount val="1"/>
                <c:pt idx="0">
                  <c:v>DECOMMISIONING &amp; REPLACEMENT</c:v>
                </c:pt>
              </c:strCache>
            </c:strRef>
          </c:tx>
          <c:spPr>
            <a:solidFill>
              <a:schemeClr val="accent4"/>
            </a:solidFill>
            <a:ln>
              <a:noFill/>
            </a:ln>
            <a:effectLst/>
          </c:spPr>
          <c:invertIfNegative val="0"/>
          <c:cat>
            <c:strRef>
              <c:f>'contributi LCOH 0,24'!$AG$73:$AG$75</c:f>
              <c:strCache>
                <c:ptCount val="3"/>
                <c:pt idx="0">
                  <c:v>LCOH1</c:v>
                </c:pt>
                <c:pt idx="1">
                  <c:v>LCOH2</c:v>
                </c:pt>
                <c:pt idx="2">
                  <c:v>LCOH3</c:v>
                </c:pt>
              </c:strCache>
            </c:strRef>
          </c:cat>
          <c:val>
            <c:numRef>
              <c:f>'contributi LCOH 0,24'!$AK$73:$AK$75</c:f>
              <c:numCache>
                <c:formatCode>0.00</c:formatCode>
                <c:ptCount val="3"/>
                <c:pt idx="0" formatCode="0.000">
                  <c:v>1.4007565388272007</c:v>
                </c:pt>
                <c:pt idx="1">
                  <c:v>1.2147241638856254</c:v>
                </c:pt>
                <c:pt idx="2">
                  <c:v>0.81150283746379437</c:v>
                </c:pt>
              </c:numCache>
            </c:numRef>
          </c:val>
          <c:extLst>
            <c:ext xmlns:c16="http://schemas.microsoft.com/office/drawing/2014/chart" uri="{C3380CC4-5D6E-409C-BE32-E72D297353CC}">
              <c16:uniqueId val="{00000003-CB9D-49BD-AB29-679BB4640B29}"/>
            </c:ext>
          </c:extLst>
        </c:ser>
        <c:ser>
          <c:idx val="4"/>
          <c:order val="4"/>
          <c:tx>
            <c:strRef>
              <c:f>'contributi LCOH 0,24'!$AL$72</c:f>
              <c:strCache>
                <c:ptCount val="1"/>
                <c:pt idx="0">
                  <c:v>METHANOL</c:v>
                </c:pt>
              </c:strCache>
            </c:strRef>
          </c:tx>
          <c:spPr>
            <a:solidFill>
              <a:schemeClr val="accent5"/>
            </a:solidFill>
            <a:ln>
              <a:noFill/>
            </a:ln>
            <a:effectLst/>
          </c:spPr>
          <c:invertIfNegative val="0"/>
          <c:cat>
            <c:strRef>
              <c:f>'contributi LCOH 0,24'!$AG$73:$AG$75</c:f>
              <c:strCache>
                <c:ptCount val="3"/>
                <c:pt idx="0">
                  <c:v>LCOH1</c:v>
                </c:pt>
                <c:pt idx="1">
                  <c:v>LCOH2</c:v>
                </c:pt>
                <c:pt idx="2">
                  <c:v>LCOH3</c:v>
                </c:pt>
              </c:strCache>
            </c:strRef>
          </c:cat>
          <c:val>
            <c:numRef>
              <c:f>'contributi LCOH 0,24'!$AL$73:$AL$75</c:f>
              <c:numCache>
                <c:formatCode>0.00</c:formatCode>
                <c:ptCount val="3"/>
                <c:pt idx="0" formatCode="0.000">
                  <c:v>1.6211473716630753</c:v>
                </c:pt>
                <c:pt idx="1">
                  <c:v>2.4266666666666676</c:v>
                </c:pt>
                <c:pt idx="2">
                  <c:v>1.6211473716630753</c:v>
                </c:pt>
              </c:numCache>
            </c:numRef>
          </c:val>
          <c:extLst>
            <c:ext xmlns:c16="http://schemas.microsoft.com/office/drawing/2014/chart" uri="{C3380CC4-5D6E-409C-BE32-E72D297353CC}">
              <c16:uniqueId val="{00000004-CB9D-49BD-AB29-679BB4640B29}"/>
            </c:ext>
          </c:extLst>
        </c:ser>
        <c:ser>
          <c:idx val="5"/>
          <c:order val="5"/>
          <c:tx>
            <c:strRef>
              <c:f>'contributi LCOH 0,24'!$AM$72</c:f>
              <c:strCache>
                <c:ptCount val="1"/>
                <c:pt idx="0">
                  <c:v>ELECTRICITY</c:v>
                </c:pt>
              </c:strCache>
            </c:strRef>
          </c:tx>
          <c:spPr>
            <a:solidFill>
              <a:schemeClr val="accent6"/>
            </a:solidFill>
            <a:ln>
              <a:noFill/>
            </a:ln>
            <a:effectLst/>
          </c:spPr>
          <c:invertIfNegative val="0"/>
          <c:cat>
            <c:strRef>
              <c:f>'contributi LCOH 0,24'!$AG$73:$AG$75</c:f>
              <c:strCache>
                <c:ptCount val="3"/>
                <c:pt idx="0">
                  <c:v>LCOH1</c:v>
                </c:pt>
                <c:pt idx="1">
                  <c:v>LCOH2</c:v>
                </c:pt>
                <c:pt idx="2">
                  <c:v>LCOH3</c:v>
                </c:pt>
              </c:strCache>
            </c:strRef>
          </c:cat>
          <c:val>
            <c:numRef>
              <c:f>'contributi LCOH 0,24'!$AM$73:$AM$75</c:f>
              <c:numCache>
                <c:formatCode>0.00</c:formatCode>
                <c:ptCount val="3"/>
                <c:pt idx="0" formatCode="0.000">
                  <c:v>4.3474354461449263</c:v>
                </c:pt>
                <c:pt idx="1">
                  <c:v>6.5075987951807228</c:v>
                </c:pt>
                <c:pt idx="2">
                  <c:v>4.3474354461449263</c:v>
                </c:pt>
              </c:numCache>
            </c:numRef>
          </c:val>
          <c:extLst>
            <c:ext xmlns:c16="http://schemas.microsoft.com/office/drawing/2014/chart" uri="{C3380CC4-5D6E-409C-BE32-E72D297353CC}">
              <c16:uniqueId val="{00000005-CB9D-49BD-AB29-679BB4640B29}"/>
            </c:ext>
          </c:extLst>
        </c:ser>
        <c:ser>
          <c:idx val="6"/>
          <c:order val="6"/>
          <c:tx>
            <c:strRef>
              <c:f>'contributi LCOH 0,24'!$AN$72</c:f>
              <c:strCache>
                <c:ptCount val="1"/>
                <c:pt idx="0">
                  <c:v>O&amp;M+CO2</c:v>
                </c:pt>
              </c:strCache>
            </c:strRef>
          </c:tx>
          <c:spPr>
            <a:solidFill>
              <a:schemeClr val="accent1">
                <a:lumMod val="60000"/>
              </a:schemeClr>
            </a:solidFill>
            <a:ln>
              <a:noFill/>
            </a:ln>
            <a:effectLst/>
          </c:spPr>
          <c:invertIfNegative val="0"/>
          <c:cat>
            <c:strRef>
              <c:f>'contributi LCOH 0,24'!$AG$73:$AG$75</c:f>
              <c:strCache>
                <c:ptCount val="3"/>
                <c:pt idx="0">
                  <c:v>LCOH1</c:v>
                </c:pt>
                <c:pt idx="1">
                  <c:v>LCOH2</c:v>
                </c:pt>
                <c:pt idx="2">
                  <c:v>LCOH3</c:v>
                </c:pt>
              </c:strCache>
            </c:strRef>
          </c:cat>
          <c:val>
            <c:numRef>
              <c:f>'contributi LCOH 0,24'!$AN$73:$AN$75</c:f>
              <c:numCache>
                <c:formatCode>0.00</c:formatCode>
                <c:ptCount val="3"/>
                <c:pt idx="0" formatCode="0.000">
                  <c:v>0.43856343039294582</c:v>
                </c:pt>
                <c:pt idx="1">
                  <c:v>0.65647779859876465</c:v>
                </c:pt>
                <c:pt idx="2">
                  <c:v>0.43856343039294582</c:v>
                </c:pt>
              </c:numCache>
            </c:numRef>
          </c:val>
          <c:extLst>
            <c:ext xmlns:c16="http://schemas.microsoft.com/office/drawing/2014/chart" uri="{C3380CC4-5D6E-409C-BE32-E72D297353CC}">
              <c16:uniqueId val="{00000006-CB9D-49BD-AB29-679BB4640B29}"/>
            </c:ext>
          </c:extLst>
        </c:ser>
        <c:dLbls>
          <c:showLegendKey val="0"/>
          <c:showVal val="0"/>
          <c:showCatName val="0"/>
          <c:showSerName val="0"/>
          <c:showPercent val="0"/>
          <c:showBubbleSize val="0"/>
        </c:dLbls>
        <c:gapWidth val="150"/>
        <c:overlap val="100"/>
        <c:axId val="1483647071"/>
        <c:axId val="1827113647"/>
      </c:barChart>
      <c:catAx>
        <c:axId val="148364707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crossAx val="1827113647"/>
        <c:crosses val="autoZero"/>
        <c:auto val="1"/>
        <c:lblAlgn val="ctr"/>
        <c:lblOffset val="100"/>
        <c:noMultiLvlLbl val="0"/>
      </c:catAx>
      <c:valAx>
        <c:axId val="1827113647"/>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it-IT" b="1"/>
                  <a:t>€/kg</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it-IT"/>
            </a:p>
          </c:txPr>
        </c:title>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crossAx val="1483647071"/>
        <c:crosses val="autoZero"/>
        <c:crossBetween val="between"/>
      </c:valAx>
      <c:spPr>
        <a:noFill/>
        <a:ln>
          <a:noFill/>
        </a:ln>
        <a:effectLst/>
      </c:spPr>
    </c:plotArea>
    <c:legend>
      <c:legendPos val="b"/>
      <c:layout>
        <c:manualLayout>
          <c:xMode val="edge"/>
          <c:yMode val="edge"/>
          <c:x val="6.4660958867170187E-2"/>
          <c:y val="0.79742708333333334"/>
          <c:w val="0.9188083061513691"/>
          <c:h val="0.18052430555555554"/>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en-US" sz="2000" b="1"/>
              <a:t>Cost distribution</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it-I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1C5C-4C03-BBAB-BBD9E9019F56}"/>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1C5C-4C03-BBAB-BBD9E9019F56}"/>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1C5C-4C03-BBAB-BBD9E9019F56}"/>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7-1C5C-4C03-BBAB-BBD9E9019F56}"/>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9-1C5C-4C03-BBAB-BBD9E9019F56}"/>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1C5C-4C03-BBAB-BBD9E9019F56}"/>
              </c:ext>
            </c:extLst>
          </c:dPt>
          <c:dLbls>
            <c:dLbl>
              <c:idx val="3"/>
              <c:layout>
                <c:manualLayout>
                  <c:x val="3.4751009560621715E-2"/>
                  <c:y val="-0.24001095254654151"/>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1C5C-4C03-BBAB-BBD9E9019F56}"/>
                </c:ext>
              </c:extLst>
            </c:dLbl>
            <c:dLbl>
              <c:idx val="4"/>
              <c:layout>
                <c:manualLayout>
                  <c:x val="0.15486677370934143"/>
                  <c:y val="-0.33301923004617445"/>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1C5C-4C03-BBAB-BBD9E9019F56}"/>
                </c:ext>
              </c:extLst>
            </c:dLbl>
            <c:dLbl>
              <c:idx val="5"/>
              <c:layout>
                <c:manualLayout>
                  <c:x val="0.17282108608146904"/>
                  <c:y val="3.8402735558411512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1C5C-4C03-BBAB-BBD9E9019F56}"/>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it-IT"/>
              </a:p>
            </c:txPr>
            <c:dLblPos val="in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'costo idrogeno in 20y'!$I$25:$N$25</c:f>
              <c:strCache>
                <c:ptCount val="6"/>
                <c:pt idx="0">
                  <c:v>ELECTRICITY COST [M€]</c:v>
                </c:pt>
                <c:pt idx="1">
                  <c:v>OPEX [M€]</c:v>
                </c:pt>
                <c:pt idx="2">
                  <c:v>METHANOL COST [M€]</c:v>
                </c:pt>
                <c:pt idx="3">
                  <c:v>DECOMISSIONING [M€]</c:v>
                </c:pt>
                <c:pt idx="4">
                  <c:v>STACK SUBSTITUTION [M€]</c:v>
                </c:pt>
                <c:pt idx="5">
                  <c:v>CAPEX [M€]</c:v>
                </c:pt>
              </c:strCache>
            </c:strRef>
          </c:cat>
          <c:val>
            <c:numRef>
              <c:f>'costo idrogeno in 20y'!$I$26:$N$26</c:f>
              <c:numCache>
                <c:formatCode>0.0000</c:formatCode>
                <c:ptCount val="6"/>
                <c:pt idx="0" formatCode="0.000">
                  <c:v>23.13779136826631</c:v>
                </c:pt>
                <c:pt idx="1">
                  <c:v>4.6682184381513157</c:v>
                </c:pt>
                <c:pt idx="2" formatCode="0.000">
                  <c:v>17.256044455365139</c:v>
                </c:pt>
                <c:pt idx="3" formatCode="0.000">
                  <c:v>3.3202633386189007</c:v>
                </c:pt>
                <c:pt idx="4" formatCode="General">
                  <c:v>6.6405266772378013</c:v>
                </c:pt>
                <c:pt idx="5" formatCode="0.000">
                  <c:v>36.657586509675355</c:v>
                </c:pt>
              </c:numCache>
            </c:numRef>
          </c:val>
          <c:extLst>
            <c:ext xmlns:c16="http://schemas.microsoft.com/office/drawing/2014/chart" uri="{C3380CC4-5D6E-409C-BE32-E72D297353CC}">
              <c16:uniqueId val="{0000000C-1C5C-4C03-BBAB-BBD9E9019F56}"/>
            </c:ext>
          </c:extLst>
        </c:ser>
        <c:dLbls>
          <c:dLblPos val="inEnd"/>
          <c:showLegendKey val="0"/>
          <c:showVal val="0"/>
          <c:showCatName val="1"/>
          <c:showSerName val="0"/>
          <c:showPercent val="0"/>
          <c:showBubbleSize val="0"/>
          <c:showLeaderLines val="1"/>
        </c:dLbls>
      </c:pie3DChart>
      <c:spPr>
        <a:noFill/>
        <a:ln>
          <a:noFill/>
        </a:ln>
        <a:effectLst/>
      </c:spPr>
    </c:plotArea>
    <c:legend>
      <c:legendPos val="b"/>
      <c:layout>
        <c:manualLayout>
          <c:xMode val="edge"/>
          <c:yMode val="edge"/>
          <c:x val="2.1678201911279123E-2"/>
          <c:y val="0.87723206462087433"/>
          <c:w val="0.96201087380864647"/>
          <c:h val="0.10658127815538383"/>
        </c:manualLayout>
      </c:layout>
      <c:overlay val="0"/>
      <c:spPr>
        <a:solidFill>
          <a:schemeClr val="bg1"/>
        </a:solidFill>
        <a:ln>
          <a:solidFill>
            <a:schemeClr val="bg1"/>
          </a:solidFill>
        </a:ln>
        <a:effectLst/>
      </c:spPr>
      <c:txPr>
        <a:bodyPr rot="0" spcFirstLastPara="1" vertOverflow="ellipsis" vert="horz" wrap="square" anchor="ctr" anchorCtr="1"/>
        <a:lstStyle/>
        <a:p>
          <a:pPr>
            <a:defRPr sz="1400" b="1" i="0" u="none" strike="noStrike" kern="1200" baseline="0">
              <a:ln>
                <a:noFill/>
              </a:ln>
              <a:solidFill>
                <a:schemeClr val="tx1"/>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sz="1600" b="1"/>
              <a:t>Sensitivity analysis with several</a:t>
            </a:r>
            <a:r>
              <a:rPr lang="it-IT" sz="1600" b="1" baseline="0"/>
              <a:t> electricity prices</a:t>
            </a:r>
            <a:endParaRPr lang="it-IT" sz="1600"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tx>
            <c:strRef>
              <c:f>'SENSITIVITY ANALYSIS'!$Z$2</c:f>
              <c:strCache>
                <c:ptCount val="1"/>
                <c:pt idx="0">
                  <c:v>LCOH1</c:v>
                </c:pt>
              </c:strCache>
            </c:strRef>
          </c:tx>
          <c:spPr>
            <a:solidFill>
              <a:schemeClr val="accent1"/>
            </a:solidFill>
            <a:ln>
              <a:noFill/>
            </a:ln>
            <a:effectLst/>
          </c:spPr>
          <c:invertIfNegative val="0"/>
          <c:cat>
            <c:strRef>
              <c:f>'SENSITIVITY ANALYSIS'!$Y$3:$Y$7</c:f>
              <c:strCache>
                <c:ptCount val="5"/>
                <c:pt idx="0">
                  <c:v>0,08 €/kWh</c:v>
                </c:pt>
                <c:pt idx="1">
                  <c:v>0,12 €/kWh</c:v>
                </c:pt>
                <c:pt idx="2">
                  <c:v>0,16 €/kWh</c:v>
                </c:pt>
                <c:pt idx="3">
                  <c:v>0,24 €/kWh</c:v>
                </c:pt>
                <c:pt idx="4">
                  <c:v>0,44 €/kWh</c:v>
                </c:pt>
              </c:strCache>
            </c:strRef>
          </c:cat>
          <c:val>
            <c:numRef>
              <c:f>'SENSITIVITY ANALYSIS'!$Z$3:$Z$7</c:f>
              <c:numCache>
                <c:formatCode>General</c:formatCode>
                <c:ptCount val="5"/>
                <c:pt idx="0">
                  <c:v>10.06</c:v>
                </c:pt>
                <c:pt idx="1">
                  <c:v>10.79</c:v>
                </c:pt>
                <c:pt idx="2">
                  <c:v>11.51</c:v>
                </c:pt>
                <c:pt idx="3">
                  <c:v>12.96</c:v>
                </c:pt>
                <c:pt idx="4">
                  <c:v>16.59</c:v>
                </c:pt>
              </c:numCache>
            </c:numRef>
          </c:val>
          <c:extLst>
            <c:ext xmlns:c16="http://schemas.microsoft.com/office/drawing/2014/chart" uri="{C3380CC4-5D6E-409C-BE32-E72D297353CC}">
              <c16:uniqueId val="{00000000-2348-470E-912C-558CD14D67A4}"/>
            </c:ext>
          </c:extLst>
        </c:ser>
        <c:ser>
          <c:idx val="1"/>
          <c:order val="1"/>
          <c:tx>
            <c:strRef>
              <c:f>'SENSITIVITY ANALYSIS'!$AA$2</c:f>
              <c:strCache>
                <c:ptCount val="1"/>
                <c:pt idx="0">
                  <c:v>LCOH2 </c:v>
                </c:pt>
              </c:strCache>
            </c:strRef>
          </c:tx>
          <c:spPr>
            <a:solidFill>
              <a:schemeClr val="accent2"/>
            </a:solidFill>
            <a:ln>
              <a:noFill/>
            </a:ln>
            <a:effectLst/>
          </c:spPr>
          <c:invertIfNegative val="0"/>
          <c:cat>
            <c:strRef>
              <c:f>'SENSITIVITY ANALYSIS'!$Y$3:$Y$7</c:f>
              <c:strCache>
                <c:ptCount val="5"/>
                <c:pt idx="0">
                  <c:v>0,08 €/kWh</c:v>
                </c:pt>
                <c:pt idx="1">
                  <c:v>0,12 €/kWh</c:v>
                </c:pt>
                <c:pt idx="2">
                  <c:v>0,16 €/kWh</c:v>
                </c:pt>
                <c:pt idx="3">
                  <c:v>0,24 €/kWh</c:v>
                </c:pt>
                <c:pt idx="4">
                  <c:v>0,44 €/kWh</c:v>
                </c:pt>
              </c:strCache>
            </c:strRef>
          </c:cat>
          <c:val>
            <c:numRef>
              <c:f>'SENSITIVITY ANALYSIS'!$AA$3:$AA$7</c:f>
              <c:numCache>
                <c:formatCode>General</c:formatCode>
                <c:ptCount val="5"/>
                <c:pt idx="0">
                  <c:v>14.18</c:v>
                </c:pt>
                <c:pt idx="1">
                  <c:v>15.27</c:v>
                </c:pt>
                <c:pt idx="2">
                  <c:v>16.350000000000001</c:v>
                </c:pt>
                <c:pt idx="3">
                  <c:v>18.52</c:v>
                </c:pt>
                <c:pt idx="4">
                  <c:v>23.94</c:v>
                </c:pt>
              </c:numCache>
            </c:numRef>
          </c:val>
          <c:extLst>
            <c:ext xmlns:c16="http://schemas.microsoft.com/office/drawing/2014/chart" uri="{C3380CC4-5D6E-409C-BE32-E72D297353CC}">
              <c16:uniqueId val="{00000001-2348-470E-912C-558CD14D67A4}"/>
            </c:ext>
          </c:extLst>
        </c:ser>
        <c:ser>
          <c:idx val="2"/>
          <c:order val="2"/>
          <c:tx>
            <c:strRef>
              <c:f>'SENSITIVITY ANALYSIS'!$AB$2</c:f>
              <c:strCache>
                <c:ptCount val="1"/>
                <c:pt idx="0">
                  <c:v>LCOH3</c:v>
                </c:pt>
              </c:strCache>
            </c:strRef>
          </c:tx>
          <c:spPr>
            <a:solidFill>
              <a:srgbClr val="00B050"/>
            </a:solidFill>
            <a:ln>
              <a:noFill/>
            </a:ln>
            <a:effectLst/>
          </c:spPr>
          <c:invertIfNegative val="0"/>
          <c:cat>
            <c:strRef>
              <c:f>'SENSITIVITY ANALYSIS'!$Y$3:$Y$7</c:f>
              <c:strCache>
                <c:ptCount val="5"/>
                <c:pt idx="0">
                  <c:v>0,08 €/kWh</c:v>
                </c:pt>
                <c:pt idx="1">
                  <c:v>0,12 €/kWh</c:v>
                </c:pt>
                <c:pt idx="2">
                  <c:v>0,16 €/kWh</c:v>
                </c:pt>
                <c:pt idx="3">
                  <c:v>0,24 €/kWh</c:v>
                </c:pt>
                <c:pt idx="4">
                  <c:v>0,44 €/kWh</c:v>
                </c:pt>
              </c:strCache>
            </c:strRef>
          </c:cat>
          <c:val>
            <c:numRef>
              <c:f>'SENSITIVITY ANALYSIS'!$AB$3:$AB$7</c:f>
              <c:numCache>
                <c:formatCode>General</c:formatCode>
                <c:ptCount val="5"/>
                <c:pt idx="0">
                  <c:v>9.4700000000000006</c:v>
                </c:pt>
                <c:pt idx="1">
                  <c:v>10.199999999999999</c:v>
                </c:pt>
                <c:pt idx="2">
                  <c:v>10.92</c:v>
                </c:pt>
                <c:pt idx="3">
                  <c:v>12.37</c:v>
                </c:pt>
                <c:pt idx="4">
                  <c:v>16</c:v>
                </c:pt>
              </c:numCache>
            </c:numRef>
          </c:val>
          <c:extLst>
            <c:ext xmlns:c16="http://schemas.microsoft.com/office/drawing/2014/chart" uri="{C3380CC4-5D6E-409C-BE32-E72D297353CC}">
              <c16:uniqueId val="{00000002-2348-470E-912C-558CD14D67A4}"/>
            </c:ext>
          </c:extLst>
        </c:ser>
        <c:dLbls>
          <c:showLegendKey val="0"/>
          <c:showVal val="0"/>
          <c:showCatName val="0"/>
          <c:showSerName val="0"/>
          <c:showPercent val="0"/>
          <c:showBubbleSize val="0"/>
        </c:dLbls>
        <c:gapWidth val="219"/>
        <c:overlap val="-27"/>
        <c:axId val="1867339631"/>
        <c:axId val="1869654143"/>
      </c:barChart>
      <c:catAx>
        <c:axId val="1867339631"/>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crossAx val="1869654143"/>
        <c:crosses val="autoZero"/>
        <c:auto val="1"/>
        <c:lblAlgn val="ctr"/>
        <c:lblOffset val="100"/>
        <c:noMultiLvlLbl val="0"/>
      </c:catAx>
      <c:valAx>
        <c:axId val="186965414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b="1"/>
                  <a:t>€/kg</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crossAx val="186733963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stacked"/>
        <c:varyColors val="0"/>
        <c:ser>
          <c:idx val="0"/>
          <c:order val="0"/>
          <c:tx>
            <c:strRef>
              <c:f>'SENSITIVITY ANALYSIS'!$B$3</c:f>
              <c:strCache>
                <c:ptCount val="1"/>
                <c:pt idx="0">
                  <c:v>ELECTROLYSER</c:v>
                </c:pt>
              </c:strCache>
            </c:strRef>
          </c:tx>
          <c:spPr>
            <a:solidFill>
              <a:schemeClr val="accent1"/>
            </a:solidFill>
            <a:ln>
              <a:noFill/>
            </a:ln>
            <a:effectLst/>
          </c:spPr>
          <c:invertIfNegative val="0"/>
          <c:cat>
            <c:strRef>
              <c:f>'SENSITIVITY ANALYSIS'!$A$4:$A$6</c:f>
              <c:strCache>
                <c:ptCount val="3"/>
                <c:pt idx="0">
                  <c:v>LCOH1-0,08 €/kWh</c:v>
                </c:pt>
                <c:pt idx="1">
                  <c:v>LCOH2-0,08 €/kWh</c:v>
                </c:pt>
                <c:pt idx="2">
                  <c:v>LCOH3-0,08 €/kWh</c:v>
                </c:pt>
              </c:strCache>
            </c:strRef>
          </c:cat>
          <c:val>
            <c:numRef>
              <c:f>'SENSITIVITY ANALYSIS'!$B$4:$B$6</c:f>
              <c:numCache>
                <c:formatCode>0.000</c:formatCode>
                <c:ptCount val="3"/>
                <c:pt idx="0">
                  <c:v>4.6691884627573357</c:v>
                </c:pt>
                <c:pt idx="1">
                  <c:v>6.9892251629993387</c:v>
                </c:pt>
                <c:pt idx="2">
                  <c:v>4.6691884627573357</c:v>
                </c:pt>
              </c:numCache>
            </c:numRef>
          </c:val>
          <c:extLst>
            <c:ext xmlns:c16="http://schemas.microsoft.com/office/drawing/2014/chart" uri="{C3380CC4-5D6E-409C-BE32-E72D297353CC}">
              <c16:uniqueId val="{00000000-192D-45B6-A37F-DB71B6482981}"/>
            </c:ext>
          </c:extLst>
        </c:ser>
        <c:ser>
          <c:idx val="1"/>
          <c:order val="1"/>
          <c:tx>
            <c:strRef>
              <c:f>'SENSITIVITY ANALYSIS'!$C$3</c:f>
              <c:strCache>
                <c:ptCount val="1"/>
                <c:pt idx="0">
                  <c:v>METHANOL TANK</c:v>
                </c:pt>
              </c:strCache>
            </c:strRef>
          </c:tx>
          <c:spPr>
            <a:solidFill>
              <a:schemeClr val="accent2"/>
            </a:solidFill>
            <a:ln>
              <a:noFill/>
            </a:ln>
            <a:effectLst/>
          </c:spPr>
          <c:invertIfNegative val="0"/>
          <c:cat>
            <c:strRef>
              <c:f>'SENSITIVITY ANALYSIS'!$A$4:$A$6</c:f>
              <c:strCache>
                <c:ptCount val="3"/>
                <c:pt idx="0">
                  <c:v>LCOH1-0,08 €/kWh</c:v>
                </c:pt>
                <c:pt idx="1">
                  <c:v>LCOH2-0,08 €/kWh</c:v>
                </c:pt>
                <c:pt idx="2">
                  <c:v>LCOH3-0,08 €/kWh</c:v>
                </c:pt>
              </c:strCache>
            </c:strRef>
          </c:cat>
          <c:val>
            <c:numRef>
              <c:f>'SENSITIVITY ANALYSIS'!$C$4:$C$6</c:f>
              <c:numCache>
                <c:formatCode>0.000</c:formatCode>
                <c:ptCount val="3"/>
                <c:pt idx="0">
                  <c:v>3.118826766617442E-2</c:v>
                </c:pt>
                <c:pt idx="1">
                  <c:v>4.6685163150184394E-2</c:v>
                </c:pt>
                <c:pt idx="2">
                  <c:v>3.118826766617442E-2</c:v>
                </c:pt>
              </c:numCache>
            </c:numRef>
          </c:val>
          <c:extLst>
            <c:ext xmlns:c16="http://schemas.microsoft.com/office/drawing/2014/chart" uri="{C3380CC4-5D6E-409C-BE32-E72D297353CC}">
              <c16:uniqueId val="{00000001-192D-45B6-A37F-DB71B6482981}"/>
            </c:ext>
          </c:extLst>
        </c:ser>
        <c:ser>
          <c:idx val="2"/>
          <c:order val="2"/>
          <c:tx>
            <c:strRef>
              <c:f>'SENSITIVITY ANALYSIS'!$D$3</c:f>
              <c:strCache>
                <c:ptCount val="1"/>
                <c:pt idx="0">
                  <c:v>H2 STORAGE</c:v>
                </c:pt>
              </c:strCache>
            </c:strRef>
          </c:tx>
          <c:spPr>
            <a:solidFill>
              <a:schemeClr val="accent3"/>
            </a:solidFill>
            <a:ln>
              <a:noFill/>
            </a:ln>
            <a:effectLst/>
          </c:spPr>
          <c:invertIfNegative val="0"/>
          <c:cat>
            <c:strRef>
              <c:f>'SENSITIVITY ANALYSIS'!$A$4:$A$6</c:f>
              <c:strCache>
                <c:ptCount val="3"/>
                <c:pt idx="0">
                  <c:v>LCOH1-0,08 €/kWh</c:v>
                </c:pt>
                <c:pt idx="1">
                  <c:v>LCOH2-0,08 €/kWh</c:v>
                </c:pt>
                <c:pt idx="2">
                  <c:v>LCOH3-0,08 €/kWh</c:v>
                </c:pt>
              </c:strCache>
            </c:strRef>
          </c:cat>
          <c:val>
            <c:numRef>
              <c:f>'SENSITIVITY ANALYSIS'!$D$4:$D$6</c:f>
              <c:numCache>
                <c:formatCode>0.000</c:formatCode>
                <c:ptCount val="3"/>
                <c:pt idx="0">
                  <c:v>0.45467160603468931</c:v>
                </c:pt>
                <c:pt idx="1">
                  <c:v>0.68058984021440794</c:v>
                </c:pt>
                <c:pt idx="2">
                  <c:v>0.45467160603468931</c:v>
                </c:pt>
              </c:numCache>
            </c:numRef>
          </c:val>
          <c:extLst>
            <c:ext xmlns:c16="http://schemas.microsoft.com/office/drawing/2014/chart" uri="{C3380CC4-5D6E-409C-BE32-E72D297353CC}">
              <c16:uniqueId val="{00000002-192D-45B6-A37F-DB71B6482981}"/>
            </c:ext>
          </c:extLst>
        </c:ser>
        <c:ser>
          <c:idx val="3"/>
          <c:order val="3"/>
          <c:tx>
            <c:strRef>
              <c:f>'SENSITIVITY ANALYSIS'!$E$3</c:f>
              <c:strCache>
                <c:ptCount val="1"/>
                <c:pt idx="0">
                  <c:v>DECOMMISIONING &amp; REPLACEMENT</c:v>
                </c:pt>
              </c:strCache>
            </c:strRef>
          </c:tx>
          <c:spPr>
            <a:solidFill>
              <a:schemeClr val="accent4"/>
            </a:solidFill>
            <a:ln>
              <a:noFill/>
            </a:ln>
            <a:effectLst/>
          </c:spPr>
          <c:invertIfNegative val="0"/>
          <c:cat>
            <c:strRef>
              <c:f>'SENSITIVITY ANALYSIS'!$A$4:$A$6</c:f>
              <c:strCache>
                <c:ptCount val="3"/>
                <c:pt idx="0">
                  <c:v>LCOH1-0,08 €/kWh</c:v>
                </c:pt>
                <c:pt idx="1">
                  <c:v>LCOH2-0,08 €/kWh</c:v>
                </c:pt>
                <c:pt idx="2">
                  <c:v>LCOH3-0,08 €/kWh</c:v>
                </c:pt>
              </c:strCache>
            </c:strRef>
          </c:cat>
          <c:val>
            <c:numRef>
              <c:f>'SENSITIVITY ANALYSIS'!$E$4:$E$6</c:f>
              <c:numCache>
                <c:formatCode>0.000</c:formatCode>
                <c:ptCount val="3"/>
                <c:pt idx="0">
                  <c:v>1.4007565388272007</c:v>
                </c:pt>
                <c:pt idx="1">
                  <c:v>1.2147241638856254</c:v>
                </c:pt>
                <c:pt idx="2">
                  <c:v>0.81150283746379437</c:v>
                </c:pt>
              </c:numCache>
            </c:numRef>
          </c:val>
          <c:extLst>
            <c:ext xmlns:c16="http://schemas.microsoft.com/office/drawing/2014/chart" uri="{C3380CC4-5D6E-409C-BE32-E72D297353CC}">
              <c16:uniqueId val="{00000003-192D-45B6-A37F-DB71B6482981}"/>
            </c:ext>
          </c:extLst>
        </c:ser>
        <c:ser>
          <c:idx val="4"/>
          <c:order val="4"/>
          <c:tx>
            <c:strRef>
              <c:f>'SENSITIVITY ANALYSIS'!$F$3</c:f>
              <c:strCache>
                <c:ptCount val="1"/>
                <c:pt idx="0">
                  <c:v>METHANOL</c:v>
                </c:pt>
              </c:strCache>
            </c:strRef>
          </c:tx>
          <c:spPr>
            <a:solidFill>
              <a:schemeClr val="accent5"/>
            </a:solidFill>
            <a:ln>
              <a:noFill/>
            </a:ln>
            <a:effectLst/>
          </c:spPr>
          <c:invertIfNegative val="0"/>
          <c:cat>
            <c:strRef>
              <c:f>'SENSITIVITY ANALYSIS'!$A$4:$A$6</c:f>
              <c:strCache>
                <c:ptCount val="3"/>
                <c:pt idx="0">
                  <c:v>LCOH1-0,08 €/kWh</c:v>
                </c:pt>
                <c:pt idx="1">
                  <c:v>LCOH2-0,08 €/kWh</c:v>
                </c:pt>
                <c:pt idx="2">
                  <c:v>LCOH3-0,08 €/kWh</c:v>
                </c:pt>
              </c:strCache>
            </c:strRef>
          </c:cat>
          <c:val>
            <c:numRef>
              <c:f>'SENSITIVITY ANALYSIS'!$F$4:$F$6</c:f>
              <c:numCache>
                <c:formatCode>0.000</c:formatCode>
                <c:ptCount val="3"/>
                <c:pt idx="0">
                  <c:v>1.6211473716630753</c:v>
                </c:pt>
                <c:pt idx="1">
                  <c:v>2.4266666666666676</c:v>
                </c:pt>
                <c:pt idx="2">
                  <c:v>1.6211473716630753</c:v>
                </c:pt>
              </c:numCache>
            </c:numRef>
          </c:val>
          <c:extLst>
            <c:ext xmlns:c16="http://schemas.microsoft.com/office/drawing/2014/chart" uri="{C3380CC4-5D6E-409C-BE32-E72D297353CC}">
              <c16:uniqueId val="{00000004-192D-45B6-A37F-DB71B6482981}"/>
            </c:ext>
          </c:extLst>
        </c:ser>
        <c:ser>
          <c:idx val="5"/>
          <c:order val="5"/>
          <c:tx>
            <c:strRef>
              <c:f>'SENSITIVITY ANALYSIS'!$G$3</c:f>
              <c:strCache>
                <c:ptCount val="1"/>
                <c:pt idx="0">
                  <c:v>ELECTRICITY</c:v>
                </c:pt>
              </c:strCache>
            </c:strRef>
          </c:tx>
          <c:spPr>
            <a:solidFill>
              <a:schemeClr val="accent6"/>
            </a:solidFill>
            <a:ln>
              <a:noFill/>
            </a:ln>
            <a:effectLst/>
          </c:spPr>
          <c:invertIfNegative val="0"/>
          <c:cat>
            <c:strRef>
              <c:f>'SENSITIVITY ANALYSIS'!$A$4:$A$6</c:f>
              <c:strCache>
                <c:ptCount val="3"/>
                <c:pt idx="0">
                  <c:v>LCOH1-0,08 €/kWh</c:v>
                </c:pt>
                <c:pt idx="1">
                  <c:v>LCOH2-0,08 €/kWh</c:v>
                </c:pt>
                <c:pt idx="2">
                  <c:v>LCOH3-0,08 €/kWh</c:v>
                </c:pt>
              </c:strCache>
            </c:strRef>
          </c:cat>
          <c:val>
            <c:numRef>
              <c:f>'SENSITIVITY ANALYSIS'!$G$4:$G$6</c:f>
              <c:numCache>
                <c:formatCode>0.000</c:formatCode>
                <c:ptCount val="3"/>
                <c:pt idx="0">
                  <c:v>1.4491451487149756</c:v>
                </c:pt>
                <c:pt idx="1">
                  <c:v>2.1691995983935746</c:v>
                </c:pt>
                <c:pt idx="2">
                  <c:v>1.4491451487149756</c:v>
                </c:pt>
              </c:numCache>
            </c:numRef>
          </c:val>
          <c:extLst>
            <c:ext xmlns:c16="http://schemas.microsoft.com/office/drawing/2014/chart" uri="{C3380CC4-5D6E-409C-BE32-E72D297353CC}">
              <c16:uniqueId val="{00000005-192D-45B6-A37F-DB71B6482981}"/>
            </c:ext>
          </c:extLst>
        </c:ser>
        <c:ser>
          <c:idx val="6"/>
          <c:order val="6"/>
          <c:tx>
            <c:strRef>
              <c:f>'SENSITIVITY ANALYSIS'!$H$3</c:f>
              <c:strCache>
                <c:ptCount val="1"/>
                <c:pt idx="0">
                  <c:v>O&amp;M+CO2</c:v>
                </c:pt>
              </c:strCache>
            </c:strRef>
          </c:tx>
          <c:spPr>
            <a:solidFill>
              <a:schemeClr val="accent1">
                <a:lumMod val="60000"/>
              </a:schemeClr>
            </a:solidFill>
            <a:ln>
              <a:noFill/>
            </a:ln>
            <a:effectLst/>
          </c:spPr>
          <c:invertIfNegative val="0"/>
          <c:cat>
            <c:strRef>
              <c:f>'SENSITIVITY ANALYSIS'!$A$4:$A$6</c:f>
              <c:strCache>
                <c:ptCount val="3"/>
                <c:pt idx="0">
                  <c:v>LCOH1-0,08 €/kWh</c:v>
                </c:pt>
                <c:pt idx="1">
                  <c:v>LCOH2-0,08 €/kWh</c:v>
                </c:pt>
                <c:pt idx="2">
                  <c:v>LCOH3-0,08 €/kWh</c:v>
                </c:pt>
              </c:strCache>
            </c:strRef>
          </c:cat>
          <c:val>
            <c:numRef>
              <c:f>'SENSITIVITY ANALYSIS'!$H$4:$H$6</c:f>
              <c:numCache>
                <c:formatCode>0.000</c:formatCode>
                <c:ptCount val="3"/>
                <c:pt idx="0">
                  <c:v>0.43856343039294582</c:v>
                </c:pt>
                <c:pt idx="1">
                  <c:v>0.65647779859876465</c:v>
                </c:pt>
                <c:pt idx="2">
                  <c:v>0.43856343039294582</c:v>
                </c:pt>
              </c:numCache>
            </c:numRef>
          </c:val>
          <c:extLst>
            <c:ext xmlns:c16="http://schemas.microsoft.com/office/drawing/2014/chart" uri="{C3380CC4-5D6E-409C-BE32-E72D297353CC}">
              <c16:uniqueId val="{00000006-192D-45B6-A37F-DB71B6482981}"/>
            </c:ext>
          </c:extLst>
        </c:ser>
        <c:dLbls>
          <c:showLegendKey val="0"/>
          <c:showVal val="0"/>
          <c:showCatName val="0"/>
          <c:showSerName val="0"/>
          <c:showPercent val="0"/>
          <c:showBubbleSize val="0"/>
        </c:dLbls>
        <c:gapWidth val="150"/>
        <c:overlap val="100"/>
        <c:axId val="472164351"/>
        <c:axId val="170989663"/>
      </c:barChart>
      <c:catAx>
        <c:axId val="47216435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70989663"/>
        <c:crosses val="autoZero"/>
        <c:auto val="1"/>
        <c:lblAlgn val="ctr"/>
        <c:lblOffset val="100"/>
        <c:noMultiLvlLbl val="0"/>
      </c:catAx>
      <c:valAx>
        <c:axId val="170989663"/>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47216435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a:t>Sensitivity analysis: LCOH</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manualLayout>
          <c:layoutTarget val="inner"/>
          <c:xMode val="edge"/>
          <c:yMode val="edge"/>
          <c:x val="0.11598634414725024"/>
          <c:y val="0.13904218589623218"/>
          <c:w val="0.86750286663702525"/>
          <c:h val="0.48935285121355282"/>
        </c:manualLayout>
      </c:layout>
      <c:barChart>
        <c:barDir val="col"/>
        <c:grouping val="stacked"/>
        <c:varyColors val="0"/>
        <c:ser>
          <c:idx val="0"/>
          <c:order val="0"/>
          <c:tx>
            <c:strRef>
              <c:f>'SENSITIVITY ANALYSIS'!$B$3</c:f>
              <c:strCache>
                <c:ptCount val="1"/>
                <c:pt idx="0">
                  <c:v>ELECTROLYSER</c:v>
                </c:pt>
              </c:strCache>
            </c:strRef>
          </c:tx>
          <c:spPr>
            <a:solidFill>
              <a:schemeClr val="accent1"/>
            </a:solidFill>
            <a:ln>
              <a:noFill/>
            </a:ln>
            <a:effectLst/>
          </c:spPr>
          <c:invertIfNegative val="0"/>
          <c:cat>
            <c:strRef>
              <c:f>'SENSITIVITY ANALYSIS'!$A$4:$A$15</c:f>
              <c:strCache>
                <c:ptCount val="12"/>
                <c:pt idx="0">
                  <c:v>LCOH1-0,08 €/kWh</c:v>
                </c:pt>
                <c:pt idx="1">
                  <c:v>LCOH2-0,08 €/kWh</c:v>
                </c:pt>
                <c:pt idx="2">
                  <c:v>LCOH3-0,08 €/kWh</c:v>
                </c:pt>
                <c:pt idx="3">
                  <c:v>LCOH1-0,12 €/kWh</c:v>
                </c:pt>
                <c:pt idx="4">
                  <c:v>LCOH2-0,12 €/kWh</c:v>
                </c:pt>
                <c:pt idx="5">
                  <c:v>LCOH3-0,12 €/kWh</c:v>
                </c:pt>
                <c:pt idx="6">
                  <c:v>LCOH1-0,16 €/kWh</c:v>
                </c:pt>
                <c:pt idx="7">
                  <c:v>LCOH2-0,16 €/kWh</c:v>
                </c:pt>
                <c:pt idx="8">
                  <c:v>LCOH3-0,16 €/kWh</c:v>
                </c:pt>
                <c:pt idx="9">
                  <c:v>LCOH1-0,24 €/kWh</c:v>
                </c:pt>
                <c:pt idx="10">
                  <c:v>LCOH2-0,24 €/kWh</c:v>
                </c:pt>
                <c:pt idx="11">
                  <c:v>LCOH3-0,24 €/kWh</c:v>
                </c:pt>
              </c:strCache>
            </c:strRef>
          </c:cat>
          <c:val>
            <c:numRef>
              <c:f>'SENSITIVITY ANALYSIS'!$B$4:$B$15</c:f>
              <c:numCache>
                <c:formatCode>0.000</c:formatCode>
                <c:ptCount val="12"/>
                <c:pt idx="0">
                  <c:v>4.6691884627573357</c:v>
                </c:pt>
                <c:pt idx="1">
                  <c:v>6.9892251629993387</c:v>
                </c:pt>
                <c:pt idx="2">
                  <c:v>4.6691884627573357</c:v>
                </c:pt>
                <c:pt idx="3">
                  <c:v>4.6691884627573357</c:v>
                </c:pt>
                <c:pt idx="4">
                  <c:v>6.9892251629993387</c:v>
                </c:pt>
                <c:pt idx="5">
                  <c:v>4.6691884627573357</c:v>
                </c:pt>
                <c:pt idx="6">
                  <c:v>4.6691884627573357</c:v>
                </c:pt>
                <c:pt idx="7">
                  <c:v>6.9892251629993387</c:v>
                </c:pt>
                <c:pt idx="8">
                  <c:v>4.6691884627573357</c:v>
                </c:pt>
                <c:pt idx="9">
                  <c:v>4.6691884627573357</c:v>
                </c:pt>
                <c:pt idx="10">
                  <c:v>6.9892251629993387</c:v>
                </c:pt>
                <c:pt idx="11">
                  <c:v>4.6691884627573357</c:v>
                </c:pt>
              </c:numCache>
            </c:numRef>
          </c:val>
          <c:extLst>
            <c:ext xmlns:c16="http://schemas.microsoft.com/office/drawing/2014/chart" uri="{C3380CC4-5D6E-409C-BE32-E72D297353CC}">
              <c16:uniqueId val="{00000000-1978-4711-A409-62A941A81EFB}"/>
            </c:ext>
          </c:extLst>
        </c:ser>
        <c:ser>
          <c:idx val="1"/>
          <c:order val="1"/>
          <c:tx>
            <c:strRef>
              <c:f>'SENSITIVITY ANALYSIS'!$C$3</c:f>
              <c:strCache>
                <c:ptCount val="1"/>
                <c:pt idx="0">
                  <c:v>METHANOL TANK</c:v>
                </c:pt>
              </c:strCache>
            </c:strRef>
          </c:tx>
          <c:spPr>
            <a:solidFill>
              <a:schemeClr val="accent2"/>
            </a:solidFill>
            <a:ln>
              <a:noFill/>
            </a:ln>
            <a:effectLst/>
          </c:spPr>
          <c:invertIfNegative val="0"/>
          <c:cat>
            <c:strRef>
              <c:f>'SENSITIVITY ANALYSIS'!$A$4:$A$15</c:f>
              <c:strCache>
                <c:ptCount val="12"/>
                <c:pt idx="0">
                  <c:v>LCOH1-0,08 €/kWh</c:v>
                </c:pt>
                <c:pt idx="1">
                  <c:v>LCOH2-0,08 €/kWh</c:v>
                </c:pt>
                <c:pt idx="2">
                  <c:v>LCOH3-0,08 €/kWh</c:v>
                </c:pt>
                <c:pt idx="3">
                  <c:v>LCOH1-0,12 €/kWh</c:v>
                </c:pt>
                <c:pt idx="4">
                  <c:v>LCOH2-0,12 €/kWh</c:v>
                </c:pt>
                <c:pt idx="5">
                  <c:v>LCOH3-0,12 €/kWh</c:v>
                </c:pt>
                <c:pt idx="6">
                  <c:v>LCOH1-0,16 €/kWh</c:v>
                </c:pt>
                <c:pt idx="7">
                  <c:v>LCOH2-0,16 €/kWh</c:v>
                </c:pt>
                <c:pt idx="8">
                  <c:v>LCOH3-0,16 €/kWh</c:v>
                </c:pt>
                <c:pt idx="9">
                  <c:v>LCOH1-0,24 €/kWh</c:v>
                </c:pt>
                <c:pt idx="10">
                  <c:v>LCOH2-0,24 €/kWh</c:v>
                </c:pt>
                <c:pt idx="11">
                  <c:v>LCOH3-0,24 €/kWh</c:v>
                </c:pt>
              </c:strCache>
            </c:strRef>
          </c:cat>
          <c:val>
            <c:numRef>
              <c:f>'SENSITIVITY ANALYSIS'!$C$4:$C$15</c:f>
              <c:numCache>
                <c:formatCode>0.000</c:formatCode>
                <c:ptCount val="12"/>
                <c:pt idx="0">
                  <c:v>3.118826766617442E-2</c:v>
                </c:pt>
                <c:pt idx="1">
                  <c:v>4.6685163150184394E-2</c:v>
                </c:pt>
                <c:pt idx="2">
                  <c:v>3.118826766617442E-2</c:v>
                </c:pt>
                <c:pt idx="3">
                  <c:v>3.118826766617442E-2</c:v>
                </c:pt>
                <c:pt idx="4">
                  <c:v>4.6685163150184394E-2</c:v>
                </c:pt>
                <c:pt idx="5">
                  <c:v>3.118826766617442E-2</c:v>
                </c:pt>
                <c:pt idx="6">
                  <c:v>3.118826766617442E-2</c:v>
                </c:pt>
                <c:pt idx="7">
                  <c:v>4.6685163150184394E-2</c:v>
                </c:pt>
                <c:pt idx="8">
                  <c:v>3.118826766617442E-2</c:v>
                </c:pt>
                <c:pt idx="9">
                  <c:v>3.118826766617442E-2</c:v>
                </c:pt>
                <c:pt idx="10">
                  <c:v>4.6685163150184394E-2</c:v>
                </c:pt>
                <c:pt idx="11">
                  <c:v>3.118826766617442E-2</c:v>
                </c:pt>
              </c:numCache>
            </c:numRef>
          </c:val>
          <c:extLst>
            <c:ext xmlns:c16="http://schemas.microsoft.com/office/drawing/2014/chart" uri="{C3380CC4-5D6E-409C-BE32-E72D297353CC}">
              <c16:uniqueId val="{00000001-1978-4711-A409-62A941A81EFB}"/>
            </c:ext>
          </c:extLst>
        </c:ser>
        <c:ser>
          <c:idx val="2"/>
          <c:order val="2"/>
          <c:tx>
            <c:strRef>
              <c:f>'SENSITIVITY ANALYSIS'!$D$3</c:f>
              <c:strCache>
                <c:ptCount val="1"/>
                <c:pt idx="0">
                  <c:v>H2 STORAGE</c:v>
                </c:pt>
              </c:strCache>
            </c:strRef>
          </c:tx>
          <c:spPr>
            <a:solidFill>
              <a:schemeClr val="accent3"/>
            </a:solidFill>
            <a:ln>
              <a:noFill/>
            </a:ln>
            <a:effectLst/>
          </c:spPr>
          <c:invertIfNegative val="0"/>
          <c:cat>
            <c:strRef>
              <c:f>'SENSITIVITY ANALYSIS'!$A$4:$A$15</c:f>
              <c:strCache>
                <c:ptCount val="12"/>
                <c:pt idx="0">
                  <c:v>LCOH1-0,08 €/kWh</c:v>
                </c:pt>
                <c:pt idx="1">
                  <c:v>LCOH2-0,08 €/kWh</c:v>
                </c:pt>
                <c:pt idx="2">
                  <c:v>LCOH3-0,08 €/kWh</c:v>
                </c:pt>
                <c:pt idx="3">
                  <c:v>LCOH1-0,12 €/kWh</c:v>
                </c:pt>
                <c:pt idx="4">
                  <c:v>LCOH2-0,12 €/kWh</c:v>
                </c:pt>
                <c:pt idx="5">
                  <c:v>LCOH3-0,12 €/kWh</c:v>
                </c:pt>
                <c:pt idx="6">
                  <c:v>LCOH1-0,16 €/kWh</c:v>
                </c:pt>
                <c:pt idx="7">
                  <c:v>LCOH2-0,16 €/kWh</c:v>
                </c:pt>
                <c:pt idx="8">
                  <c:v>LCOH3-0,16 €/kWh</c:v>
                </c:pt>
                <c:pt idx="9">
                  <c:v>LCOH1-0,24 €/kWh</c:v>
                </c:pt>
                <c:pt idx="10">
                  <c:v>LCOH2-0,24 €/kWh</c:v>
                </c:pt>
                <c:pt idx="11">
                  <c:v>LCOH3-0,24 €/kWh</c:v>
                </c:pt>
              </c:strCache>
            </c:strRef>
          </c:cat>
          <c:val>
            <c:numRef>
              <c:f>'SENSITIVITY ANALYSIS'!$D$4:$D$15</c:f>
              <c:numCache>
                <c:formatCode>0.000</c:formatCode>
                <c:ptCount val="12"/>
                <c:pt idx="0">
                  <c:v>0.45467160603468931</c:v>
                </c:pt>
                <c:pt idx="1">
                  <c:v>0.68058984021440794</c:v>
                </c:pt>
                <c:pt idx="2">
                  <c:v>0.45467160603468931</c:v>
                </c:pt>
                <c:pt idx="3">
                  <c:v>0.45467160603468931</c:v>
                </c:pt>
                <c:pt idx="4">
                  <c:v>0.68058984021440794</c:v>
                </c:pt>
                <c:pt idx="5">
                  <c:v>0.45467160603468931</c:v>
                </c:pt>
                <c:pt idx="6">
                  <c:v>0.45467160603468931</c:v>
                </c:pt>
                <c:pt idx="7">
                  <c:v>0.68058984021440794</c:v>
                </c:pt>
                <c:pt idx="8">
                  <c:v>0.45467160603468931</c:v>
                </c:pt>
                <c:pt idx="9">
                  <c:v>0.45467160603468931</c:v>
                </c:pt>
                <c:pt idx="10">
                  <c:v>0.68058984021440794</c:v>
                </c:pt>
                <c:pt idx="11">
                  <c:v>0.45467160603468931</c:v>
                </c:pt>
              </c:numCache>
            </c:numRef>
          </c:val>
          <c:extLst>
            <c:ext xmlns:c16="http://schemas.microsoft.com/office/drawing/2014/chart" uri="{C3380CC4-5D6E-409C-BE32-E72D297353CC}">
              <c16:uniqueId val="{00000002-1978-4711-A409-62A941A81EFB}"/>
            </c:ext>
          </c:extLst>
        </c:ser>
        <c:ser>
          <c:idx val="3"/>
          <c:order val="3"/>
          <c:tx>
            <c:strRef>
              <c:f>'SENSITIVITY ANALYSIS'!$E$3</c:f>
              <c:strCache>
                <c:ptCount val="1"/>
                <c:pt idx="0">
                  <c:v>DECOMMISIONING &amp; REPLACEMENT</c:v>
                </c:pt>
              </c:strCache>
            </c:strRef>
          </c:tx>
          <c:spPr>
            <a:solidFill>
              <a:schemeClr val="accent4"/>
            </a:solidFill>
            <a:ln>
              <a:noFill/>
            </a:ln>
            <a:effectLst/>
          </c:spPr>
          <c:invertIfNegative val="0"/>
          <c:cat>
            <c:strRef>
              <c:f>'SENSITIVITY ANALYSIS'!$A$4:$A$15</c:f>
              <c:strCache>
                <c:ptCount val="12"/>
                <c:pt idx="0">
                  <c:v>LCOH1-0,08 €/kWh</c:v>
                </c:pt>
                <c:pt idx="1">
                  <c:v>LCOH2-0,08 €/kWh</c:v>
                </c:pt>
                <c:pt idx="2">
                  <c:v>LCOH3-0,08 €/kWh</c:v>
                </c:pt>
                <c:pt idx="3">
                  <c:v>LCOH1-0,12 €/kWh</c:v>
                </c:pt>
                <c:pt idx="4">
                  <c:v>LCOH2-0,12 €/kWh</c:v>
                </c:pt>
                <c:pt idx="5">
                  <c:v>LCOH3-0,12 €/kWh</c:v>
                </c:pt>
                <c:pt idx="6">
                  <c:v>LCOH1-0,16 €/kWh</c:v>
                </c:pt>
                <c:pt idx="7">
                  <c:v>LCOH2-0,16 €/kWh</c:v>
                </c:pt>
                <c:pt idx="8">
                  <c:v>LCOH3-0,16 €/kWh</c:v>
                </c:pt>
                <c:pt idx="9">
                  <c:v>LCOH1-0,24 €/kWh</c:v>
                </c:pt>
                <c:pt idx="10">
                  <c:v>LCOH2-0,24 €/kWh</c:v>
                </c:pt>
                <c:pt idx="11">
                  <c:v>LCOH3-0,24 €/kWh</c:v>
                </c:pt>
              </c:strCache>
            </c:strRef>
          </c:cat>
          <c:val>
            <c:numRef>
              <c:f>'SENSITIVITY ANALYSIS'!$E$4:$E$15</c:f>
              <c:numCache>
                <c:formatCode>0.000</c:formatCode>
                <c:ptCount val="12"/>
                <c:pt idx="0">
                  <c:v>1.4007565388272007</c:v>
                </c:pt>
                <c:pt idx="1">
                  <c:v>1.2147241638856254</c:v>
                </c:pt>
                <c:pt idx="2">
                  <c:v>0.81150283746379437</c:v>
                </c:pt>
                <c:pt idx="3">
                  <c:v>1.4007565388272007</c:v>
                </c:pt>
                <c:pt idx="4">
                  <c:v>1.2147241638856254</c:v>
                </c:pt>
                <c:pt idx="5">
                  <c:v>0.81150283746379437</c:v>
                </c:pt>
                <c:pt idx="6">
                  <c:v>1.4007565388272007</c:v>
                </c:pt>
                <c:pt idx="7">
                  <c:v>1.2147241638856254</c:v>
                </c:pt>
                <c:pt idx="8">
                  <c:v>0.81150283746379437</c:v>
                </c:pt>
                <c:pt idx="9">
                  <c:v>1.4007565388272007</c:v>
                </c:pt>
                <c:pt idx="10">
                  <c:v>1.2147241638856254</c:v>
                </c:pt>
                <c:pt idx="11">
                  <c:v>0.81150283746379437</c:v>
                </c:pt>
              </c:numCache>
            </c:numRef>
          </c:val>
          <c:extLst>
            <c:ext xmlns:c16="http://schemas.microsoft.com/office/drawing/2014/chart" uri="{C3380CC4-5D6E-409C-BE32-E72D297353CC}">
              <c16:uniqueId val="{00000003-1978-4711-A409-62A941A81EFB}"/>
            </c:ext>
          </c:extLst>
        </c:ser>
        <c:ser>
          <c:idx val="4"/>
          <c:order val="4"/>
          <c:tx>
            <c:strRef>
              <c:f>'SENSITIVITY ANALYSIS'!$F$3</c:f>
              <c:strCache>
                <c:ptCount val="1"/>
                <c:pt idx="0">
                  <c:v>METHANOL</c:v>
                </c:pt>
              </c:strCache>
            </c:strRef>
          </c:tx>
          <c:spPr>
            <a:solidFill>
              <a:schemeClr val="accent5"/>
            </a:solidFill>
            <a:ln>
              <a:noFill/>
            </a:ln>
            <a:effectLst/>
          </c:spPr>
          <c:invertIfNegative val="0"/>
          <c:cat>
            <c:strRef>
              <c:f>'SENSITIVITY ANALYSIS'!$A$4:$A$15</c:f>
              <c:strCache>
                <c:ptCount val="12"/>
                <c:pt idx="0">
                  <c:v>LCOH1-0,08 €/kWh</c:v>
                </c:pt>
                <c:pt idx="1">
                  <c:v>LCOH2-0,08 €/kWh</c:v>
                </c:pt>
                <c:pt idx="2">
                  <c:v>LCOH3-0,08 €/kWh</c:v>
                </c:pt>
                <c:pt idx="3">
                  <c:v>LCOH1-0,12 €/kWh</c:v>
                </c:pt>
                <c:pt idx="4">
                  <c:v>LCOH2-0,12 €/kWh</c:v>
                </c:pt>
                <c:pt idx="5">
                  <c:v>LCOH3-0,12 €/kWh</c:v>
                </c:pt>
                <c:pt idx="6">
                  <c:v>LCOH1-0,16 €/kWh</c:v>
                </c:pt>
                <c:pt idx="7">
                  <c:v>LCOH2-0,16 €/kWh</c:v>
                </c:pt>
                <c:pt idx="8">
                  <c:v>LCOH3-0,16 €/kWh</c:v>
                </c:pt>
                <c:pt idx="9">
                  <c:v>LCOH1-0,24 €/kWh</c:v>
                </c:pt>
                <c:pt idx="10">
                  <c:v>LCOH2-0,24 €/kWh</c:v>
                </c:pt>
                <c:pt idx="11">
                  <c:v>LCOH3-0,24 €/kWh</c:v>
                </c:pt>
              </c:strCache>
            </c:strRef>
          </c:cat>
          <c:val>
            <c:numRef>
              <c:f>'SENSITIVITY ANALYSIS'!$F$4:$F$15</c:f>
              <c:numCache>
                <c:formatCode>0.000</c:formatCode>
                <c:ptCount val="12"/>
                <c:pt idx="0">
                  <c:v>1.6211473716630753</c:v>
                </c:pt>
                <c:pt idx="1">
                  <c:v>2.4266666666666676</c:v>
                </c:pt>
                <c:pt idx="2">
                  <c:v>1.6211473716630753</c:v>
                </c:pt>
                <c:pt idx="3">
                  <c:v>1.6211473716630753</c:v>
                </c:pt>
                <c:pt idx="4">
                  <c:v>2.4266666666666676</c:v>
                </c:pt>
                <c:pt idx="5">
                  <c:v>1.6211473716630753</c:v>
                </c:pt>
                <c:pt idx="6">
                  <c:v>1.6211473716630753</c:v>
                </c:pt>
                <c:pt idx="7">
                  <c:v>2.4266666666666676</c:v>
                </c:pt>
                <c:pt idx="8">
                  <c:v>1.6211473716630753</c:v>
                </c:pt>
                <c:pt idx="9">
                  <c:v>1.6211473716630753</c:v>
                </c:pt>
                <c:pt idx="10">
                  <c:v>2.4266666666666676</c:v>
                </c:pt>
                <c:pt idx="11">
                  <c:v>1.6211473716630753</c:v>
                </c:pt>
              </c:numCache>
            </c:numRef>
          </c:val>
          <c:extLst>
            <c:ext xmlns:c16="http://schemas.microsoft.com/office/drawing/2014/chart" uri="{C3380CC4-5D6E-409C-BE32-E72D297353CC}">
              <c16:uniqueId val="{00000004-1978-4711-A409-62A941A81EFB}"/>
            </c:ext>
          </c:extLst>
        </c:ser>
        <c:ser>
          <c:idx val="5"/>
          <c:order val="5"/>
          <c:tx>
            <c:strRef>
              <c:f>'SENSITIVITY ANALYSIS'!$G$3</c:f>
              <c:strCache>
                <c:ptCount val="1"/>
                <c:pt idx="0">
                  <c:v>ELECTRICITY</c:v>
                </c:pt>
              </c:strCache>
            </c:strRef>
          </c:tx>
          <c:spPr>
            <a:solidFill>
              <a:schemeClr val="accent6"/>
            </a:solidFill>
            <a:ln>
              <a:noFill/>
            </a:ln>
            <a:effectLst/>
          </c:spPr>
          <c:invertIfNegative val="0"/>
          <c:cat>
            <c:strRef>
              <c:f>'SENSITIVITY ANALYSIS'!$A$4:$A$15</c:f>
              <c:strCache>
                <c:ptCount val="12"/>
                <c:pt idx="0">
                  <c:v>LCOH1-0,08 €/kWh</c:v>
                </c:pt>
                <c:pt idx="1">
                  <c:v>LCOH2-0,08 €/kWh</c:v>
                </c:pt>
                <c:pt idx="2">
                  <c:v>LCOH3-0,08 €/kWh</c:v>
                </c:pt>
                <c:pt idx="3">
                  <c:v>LCOH1-0,12 €/kWh</c:v>
                </c:pt>
                <c:pt idx="4">
                  <c:v>LCOH2-0,12 €/kWh</c:v>
                </c:pt>
                <c:pt idx="5">
                  <c:v>LCOH3-0,12 €/kWh</c:v>
                </c:pt>
                <c:pt idx="6">
                  <c:v>LCOH1-0,16 €/kWh</c:v>
                </c:pt>
                <c:pt idx="7">
                  <c:v>LCOH2-0,16 €/kWh</c:v>
                </c:pt>
                <c:pt idx="8">
                  <c:v>LCOH3-0,16 €/kWh</c:v>
                </c:pt>
                <c:pt idx="9">
                  <c:v>LCOH1-0,24 €/kWh</c:v>
                </c:pt>
                <c:pt idx="10">
                  <c:v>LCOH2-0,24 €/kWh</c:v>
                </c:pt>
                <c:pt idx="11">
                  <c:v>LCOH3-0,24 €/kWh</c:v>
                </c:pt>
              </c:strCache>
            </c:strRef>
          </c:cat>
          <c:val>
            <c:numRef>
              <c:f>'SENSITIVITY ANALYSIS'!$G$4:$G$15</c:f>
              <c:numCache>
                <c:formatCode>0.000</c:formatCode>
                <c:ptCount val="12"/>
                <c:pt idx="0">
                  <c:v>1.4491451487149756</c:v>
                </c:pt>
                <c:pt idx="1">
                  <c:v>2.1691995983935746</c:v>
                </c:pt>
                <c:pt idx="2">
                  <c:v>1.4491451487149756</c:v>
                </c:pt>
                <c:pt idx="3">
                  <c:v>2.1737177230724631</c:v>
                </c:pt>
                <c:pt idx="4">
                  <c:v>3.2537993975903614</c:v>
                </c:pt>
                <c:pt idx="5">
                  <c:v>2.1737177230724631</c:v>
                </c:pt>
                <c:pt idx="6">
                  <c:v>2.8982902974299511</c:v>
                </c:pt>
                <c:pt idx="7">
                  <c:v>4.3383991967871491</c:v>
                </c:pt>
                <c:pt idx="8">
                  <c:v>2.8982902974299511</c:v>
                </c:pt>
                <c:pt idx="9">
                  <c:v>4.3474354461449263</c:v>
                </c:pt>
                <c:pt idx="10">
                  <c:v>6.5075987951807228</c:v>
                </c:pt>
                <c:pt idx="11">
                  <c:v>4.3474354461449263</c:v>
                </c:pt>
              </c:numCache>
            </c:numRef>
          </c:val>
          <c:extLst>
            <c:ext xmlns:c16="http://schemas.microsoft.com/office/drawing/2014/chart" uri="{C3380CC4-5D6E-409C-BE32-E72D297353CC}">
              <c16:uniqueId val="{00000005-1978-4711-A409-62A941A81EFB}"/>
            </c:ext>
          </c:extLst>
        </c:ser>
        <c:ser>
          <c:idx val="6"/>
          <c:order val="6"/>
          <c:tx>
            <c:strRef>
              <c:f>'SENSITIVITY ANALYSIS'!$H$3</c:f>
              <c:strCache>
                <c:ptCount val="1"/>
                <c:pt idx="0">
                  <c:v>O&amp;M+CO2</c:v>
                </c:pt>
              </c:strCache>
            </c:strRef>
          </c:tx>
          <c:spPr>
            <a:solidFill>
              <a:schemeClr val="accent1">
                <a:lumMod val="60000"/>
              </a:schemeClr>
            </a:solidFill>
            <a:ln>
              <a:noFill/>
            </a:ln>
            <a:effectLst/>
          </c:spPr>
          <c:invertIfNegative val="0"/>
          <c:cat>
            <c:strRef>
              <c:f>'SENSITIVITY ANALYSIS'!$A$4:$A$15</c:f>
              <c:strCache>
                <c:ptCount val="12"/>
                <c:pt idx="0">
                  <c:v>LCOH1-0,08 €/kWh</c:v>
                </c:pt>
                <c:pt idx="1">
                  <c:v>LCOH2-0,08 €/kWh</c:v>
                </c:pt>
                <c:pt idx="2">
                  <c:v>LCOH3-0,08 €/kWh</c:v>
                </c:pt>
                <c:pt idx="3">
                  <c:v>LCOH1-0,12 €/kWh</c:v>
                </c:pt>
                <c:pt idx="4">
                  <c:v>LCOH2-0,12 €/kWh</c:v>
                </c:pt>
                <c:pt idx="5">
                  <c:v>LCOH3-0,12 €/kWh</c:v>
                </c:pt>
                <c:pt idx="6">
                  <c:v>LCOH1-0,16 €/kWh</c:v>
                </c:pt>
                <c:pt idx="7">
                  <c:v>LCOH2-0,16 €/kWh</c:v>
                </c:pt>
                <c:pt idx="8">
                  <c:v>LCOH3-0,16 €/kWh</c:v>
                </c:pt>
                <c:pt idx="9">
                  <c:v>LCOH1-0,24 €/kWh</c:v>
                </c:pt>
                <c:pt idx="10">
                  <c:v>LCOH2-0,24 €/kWh</c:v>
                </c:pt>
                <c:pt idx="11">
                  <c:v>LCOH3-0,24 €/kWh</c:v>
                </c:pt>
              </c:strCache>
            </c:strRef>
          </c:cat>
          <c:val>
            <c:numRef>
              <c:f>'SENSITIVITY ANALYSIS'!$H$4:$H$15</c:f>
              <c:numCache>
                <c:formatCode>0.000</c:formatCode>
                <c:ptCount val="12"/>
                <c:pt idx="0">
                  <c:v>0.43856343039294582</c:v>
                </c:pt>
                <c:pt idx="1">
                  <c:v>0.65647779859876465</c:v>
                </c:pt>
                <c:pt idx="2">
                  <c:v>0.43856343039294582</c:v>
                </c:pt>
                <c:pt idx="3">
                  <c:v>0.43856343039294582</c:v>
                </c:pt>
                <c:pt idx="4">
                  <c:v>0.65647779859876465</c:v>
                </c:pt>
                <c:pt idx="5">
                  <c:v>0.43856343039294582</c:v>
                </c:pt>
                <c:pt idx="6">
                  <c:v>0.43856343039294582</c:v>
                </c:pt>
                <c:pt idx="7">
                  <c:v>0.65647779859876465</c:v>
                </c:pt>
                <c:pt idx="8">
                  <c:v>0.43856343039294582</c:v>
                </c:pt>
                <c:pt idx="9">
                  <c:v>0.43856343039294582</c:v>
                </c:pt>
                <c:pt idx="10">
                  <c:v>0.65647779859876465</c:v>
                </c:pt>
                <c:pt idx="11">
                  <c:v>0.43856343039294582</c:v>
                </c:pt>
              </c:numCache>
            </c:numRef>
          </c:val>
          <c:extLst>
            <c:ext xmlns:c16="http://schemas.microsoft.com/office/drawing/2014/chart" uri="{C3380CC4-5D6E-409C-BE32-E72D297353CC}">
              <c16:uniqueId val="{00000006-1978-4711-A409-62A941A81EFB}"/>
            </c:ext>
          </c:extLst>
        </c:ser>
        <c:dLbls>
          <c:showLegendKey val="0"/>
          <c:showVal val="0"/>
          <c:showCatName val="0"/>
          <c:showSerName val="0"/>
          <c:showPercent val="0"/>
          <c:showBubbleSize val="0"/>
        </c:dLbls>
        <c:gapWidth val="150"/>
        <c:overlap val="100"/>
        <c:axId val="1829441023"/>
        <c:axId val="362624095"/>
      </c:barChart>
      <c:catAx>
        <c:axId val="182944102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crossAx val="362624095"/>
        <c:crosses val="autoZero"/>
        <c:auto val="1"/>
        <c:lblAlgn val="ctr"/>
        <c:lblOffset val="100"/>
        <c:noMultiLvlLbl val="0"/>
      </c:catAx>
      <c:valAx>
        <c:axId val="36262409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b="1"/>
                  <a:t>€/kg</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crossAx val="1829441023"/>
        <c:crosses val="autoZero"/>
        <c:crossBetween val="between"/>
      </c:valAx>
      <c:spPr>
        <a:noFill/>
        <a:ln>
          <a:noFill/>
        </a:ln>
        <a:effectLst/>
      </c:spPr>
    </c:plotArea>
    <c:legend>
      <c:legendPos val="b"/>
      <c:layout>
        <c:manualLayout>
          <c:xMode val="edge"/>
          <c:yMode val="edge"/>
          <c:x val="3.1124044872202029E-2"/>
          <c:y val="0.86282036581900479"/>
          <c:w val="0.95426269947132047"/>
          <c:h val="0.1231100985476805"/>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it-IT" sz="1600" b="1"/>
              <a:t>LCOH</a:t>
            </a:r>
            <a:r>
              <a:rPr lang="it-IT" sz="1600" b="1" baseline="0"/>
              <a:t> results</a:t>
            </a:r>
            <a:endParaRPr lang="it-IT"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tx>
            <c:v>LCOH1</c:v>
          </c:tx>
          <c:spPr>
            <a:solidFill>
              <a:schemeClr val="accent1"/>
            </a:solidFill>
            <a:ln>
              <a:noFill/>
            </a:ln>
            <a:effectLst/>
          </c:spPr>
          <c:invertIfNegative val="0"/>
          <c:cat>
            <c:strRef>
              <c:f>LCOH!$A$2</c:f>
              <c:strCache>
                <c:ptCount val="1"/>
                <c:pt idx="0">
                  <c:v>LCOH</c:v>
                </c:pt>
              </c:strCache>
            </c:strRef>
          </c:cat>
          <c:val>
            <c:numRef>
              <c:f>LCOH!$B$3</c:f>
              <c:numCache>
                <c:formatCode>General</c:formatCode>
                <c:ptCount val="1"/>
                <c:pt idx="0">
                  <c:v>10.79</c:v>
                </c:pt>
              </c:numCache>
            </c:numRef>
          </c:val>
          <c:extLst>
            <c:ext xmlns:c16="http://schemas.microsoft.com/office/drawing/2014/chart" uri="{C3380CC4-5D6E-409C-BE32-E72D297353CC}">
              <c16:uniqueId val="{00000000-AC3B-43BD-95DE-DA01350B5FF5}"/>
            </c:ext>
          </c:extLst>
        </c:ser>
        <c:ser>
          <c:idx val="1"/>
          <c:order val="1"/>
          <c:tx>
            <c:v>LCOH2</c:v>
          </c:tx>
          <c:spPr>
            <a:solidFill>
              <a:schemeClr val="accent2"/>
            </a:solidFill>
            <a:ln>
              <a:noFill/>
            </a:ln>
            <a:effectLst/>
          </c:spPr>
          <c:invertIfNegative val="0"/>
          <c:cat>
            <c:strRef>
              <c:f>LCOH!$A$2</c:f>
              <c:strCache>
                <c:ptCount val="1"/>
                <c:pt idx="0">
                  <c:v>LCOH</c:v>
                </c:pt>
              </c:strCache>
            </c:strRef>
          </c:cat>
          <c:val>
            <c:numRef>
              <c:f>LCOH!$B$4</c:f>
              <c:numCache>
                <c:formatCode>General</c:formatCode>
                <c:ptCount val="1"/>
                <c:pt idx="0">
                  <c:v>15.27</c:v>
                </c:pt>
              </c:numCache>
            </c:numRef>
          </c:val>
          <c:extLst>
            <c:ext xmlns:c16="http://schemas.microsoft.com/office/drawing/2014/chart" uri="{C3380CC4-5D6E-409C-BE32-E72D297353CC}">
              <c16:uniqueId val="{00000001-AC3B-43BD-95DE-DA01350B5FF5}"/>
            </c:ext>
          </c:extLst>
        </c:ser>
        <c:ser>
          <c:idx val="2"/>
          <c:order val="2"/>
          <c:tx>
            <c:v>LCOH 3</c:v>
          </c:tx>
          <c:spPr>
            <a:solidFill>
              <a:srgbClr val="00B050"/>
            </a:solidFill>
            <a:ln>
              <a:noFill/>
            </a:ln>
            <a:effectLst/>
          </c:spPr>
          <c:invertIfNegative val="0"/>
          <c:cat>
            <c:strRef>
              <c:f>LCOH!$A$2</c:f>
              <c:strCache>
                <c:ptCount val="1"/>
                <c:pt idx="0">
                  <c:v>LCOH</c:v>
                </c:pt>
              </c:strCache>
            </c:strRef>
          </c:cat>
          <c:val>
            <c:numRef>
              <c:f>LCOH!$B$5</c:f>
              <c:numCache>
                <c:formatCode>General</c:formatCode>
                <c:ptCount val="1"/>
                <c:pt idx="0">
                  <c:v>10.199999999999999</c:v>
                </c:pt>
              </c:numCache>
            </c:numRef>
          </c:val>
          <c:extLst>
            <c:ext xmlns:c16="http://schemas.microsoft.com/office/drawing/2014/chart" uri="{C3380CC4-5D6E-409C-BE32-E72D297353CC}">
              <c16:uniqueId val="{00000002-AC3B-43BD-95DE-DA01350B5FF5}"/>
            </c:ext>
          </c:extLst>
        </c:ser>
        <c:dLbls>
          <c:showLegendKey val="0"/>
          <c:showVal val="0"/>
          <c:showCatName val="0"/>
          <c:showSerName val="0"/>
          <c:showPercent val="0"/>
          <c:showBubbleSize val="0"/>
        </c:dLbls>
        <c:gapWidth val="219"/>
        <c:overlap val="-27"/>
        <c:axId val="1308855408"/>
        <c:axId val="1303584464"/>
      </c:barChart>
      <c:catAx>
        <c:axId val="130885540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it-IT"/>
          </a:p>
        </c:txPr>
        <c:crossAx val="1303584464"/>
        <c:crosses val="autoZero"/>
        <c:auto val="1"/>
        <c:lblAlgn val="ctr"/>
        <c:lblOffset val="100"/>
        <c:noMultiLvlLbl val="0"/>
      </c:catAx>
      <c:valAx>
        <c:axId val="130358446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sz="1000" b="1" i="0" u="none" strike="noStrike" baseline="0">
                    <a:effectLst/>
                    <a:latin typeface="+mn-lt"/>
                  </a:rPr>
                  <a:t>€</a:t>
                </a:r>
                <a:r>
                  <a:rPr lang="it-IT" sz="1000" b="1" i="0" u="none" strike="noStrike" baseline="0">
                    <a:effectLst/>
                    <a:latin typeface="+mn-lt"/>
                  </a:rPr>
                  <a:t>/</a:t>
                </a:r>
                <a:r>
                  <a:rPr lang="en-GB" sz="1000" b="1" i="0" u="none" strike="noStrike" baseline="0">
                    <a:effectLst/>
                    <a:latin typeface="+mn-lt"/>
                  </a:rPr>
                  <a:t>𝑘𝑔</a:t>
                </a:r>
                <a:endParaRPr lang="it-IT" sz="1000" b="1" i="0">
                  <a:latin typeface="+mn-l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it-IT"/>
          </a:p>
        </c:txPr>
        <c:crossAx val="130885540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sz="1800" b="1" i="0" baseline="0">
                <a:effectLst/>
              </a:rPr>
              <a:t>LCOH results comparison</a:t>
            </a:r>
            <a:endParaRPr lang="it-IT">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tx>
            <c:v>Old curve</c:v>
          </c:tx>
          <c:spPr>
            <a:solidFill>
              <a:schemeClr val="accent1"/>
            </a:solidFill>
            <a:ln>
              <a:noFill/>
            </a:ln>
            <a:effectLst/>
          </c:spPr>
          <c:invertIfNegative val="0"/>
          <c:cat>
            <c:strRef>
              <c:f>LCOH!$A$3:$A$5</c:f>
              <c:strCache>
                <c:ptCount val="3"/>
                <c:pt idx="0">
                  <c:v>LCOH1</c:v>
                </c:pt>
                <c:pt idx="1">
                  <c:v>LCOH2</c:v>
                </c:pt>
                <c:pt idx="2">
                  <c:v>LCOH3</c:v>
                </c:pt>
              </c:strCache>
            </c:strRef>
          </c:cat>
          <c:val>
            <c:numRef>
              <c:f>LCOH!$B$3:$B$5</c:f>
              <c:numCache>
                <c:formatCode>General</c:formatCode>
                <c:ptCount val="3"/>
                <c:pt idx="0">
                  <c:v>10.79</c:v>
                </c:pt>
                <c:pt idx="1">
                  <c:v>15.27</c:v>
                </c:pt>
                <c:pt idx="2">
                  <c:v>10.199999999999999</c:v>
                </c:pt>
              </c:numCache>
            </c:numRef>
          </c:val>
          <c:extLst>
            <c:ext xmlns:c16="http://schemas.microsoft.com/office/drawing/2014/chart" uri="{C3380CC4-5D6E-409C-BE32-E72D297353CC}">
              <c16:uniqueId val="{00000000-BF46-4D93-9985-3AF88CAF0D33}"/>
            </c:ext>
          </c:extLst>
        </c:ser>
        <c:ser>
          <c:idx val="1"/>
          <c:order val="1"/>
          <c:tx>
            <c:v>New curve</c:v>
          </c:tx>
          <c:spPr>
            <a:solidFill>
              <a:schemeClr val="accent2"/>
            </a:solidFill>
            <a:ln>
              <a:noFill/>
            </a:ln>
            <a:effectLst/>
          </c:spPr>
          <c:invertIfNegative val="0"/>
          <c:cat>
            <c:strRef>
              <c:f>LCOH!$A$3:$A$5</c:f>
              <c:strCache>
                <c:ptCount val="3"/>
                <c:pt idx="0">
                  <c:v>LCOH1</c:v>
                </c:pt>
                <c:pt idx="1">
                  <c:v>LCOH2</c:v>
                </c:pt>
                <c:pt idx="2">
                  <c:v>LCOH3</c:v>
                </c:pt>
              </c:strCache>
            </c:strRef>
          </c:cat>
          <c:val>
            <c:numRef>
              <c:f>LCOH!$C$3:$C$5</c:f>
              <c:numCache>
                <c:formatCode>General</c:formatCode>
                <c:ptCount val="3"/>
                <c:pt idx="0">
                  <c:v>10.36</c:v>
                </c:pt>
                <c:pt idx="1">
                  <c:v>14.63</c:v>
                </c:pt>
                <c:pt idx="2">
                  <c:v>9.77</c:v>
                </c:pt>
              </c:numCache>
            </c:numRef>
          </c:val>
          <c:extLst>
            <c:ext xmlns:c16="http://schemas.microsoft.com/office/drawing/2014/chart" uri="{C3380CC4-5D6E-409C-BE32-E72D297353CC}">
              <c16:uniqueId val="{00000001-BF46-4D93-9985-3AF88CAF0D33}"/>
            </c:ext>
          </c:extLst>
        </c:ser>
        <c:dLbls>
          <c:showLegendKey val="0"/>
          <c:showVal val="0"/>
          <c:showCatName val="0"/>
          <c:showSerName val="0"/>
          <c:showPercent val="0"/>
          <c:showBubbleSize val="0"/>
        </c:dLbls>
        <c:gapWidth val="219"/>
        <c:overlap val="-27"/>
        <c:axId val="1427994896"/>
        <c:axId val="1303583984"/>
      </c:barChart>
      <c:catAx>
        <c:axId val="142799489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it-IT"/>
          </a:p>
        </c:txPr>
        <c:crossAx val="1303583984"/>
        <c:crosses val="autoZero"/>
        <c:auto val="1"/>
        <c:lblAlgn val="ctr"/>
        <c:lblOffset val="100"/>
        <c:noMultiLvlLbl val="0"/>
      </c:catAx>
      <c:valAx>
        <c:axId val="130358398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sz="1000" b="1" i="0" baseline="0">
                    <a:effectLst/>
                  </a:rPr>
                  <a:t>€</a:t>
                </a:r>
                <a:r>
                  <a:rPr lang="it-IT" sz="1000" b="1" i="0" baseline="0">
                    <a:effectLst/>
                  </a:rPr>
                  <a:t>/</a:t>
                </a:r>
                <a:r>
                  <a:rPr lang="en-GB" sz="1000" b="1" i="0" baseline="0">
                    <a:effectLst/>
                  </a:rPr>
                  <a:t>𝑘𝑔</a:t>
                </a:r>
                <a:endParaRPr lang="it-IT" sz="400" b="1" i="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it-IT"/>
          </a:p>
        </c:txPr>
        <c:crossAx val="14279948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bg1"/>
      </a:solidFill>
      <a:round/>
    </a:ln>
    <a:effectLst/>
  </c:spPr>
  <c:txPr>
    <a:bodyPr/>
    <a:lstStyle/>
    <a:p>
      <a:pPr>
        <a:defRPr/>
      </a:pPr>
      <a:endParaRPr lang="it-IT"/>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sz="1800" b="1"/>
              <a:t>Specific energy consumption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tx>
            <c:v>Lower</c:v>
          </c:tx>
          <c:spPr>
            <a:solidFill>
              <a:srgbClr val="99663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'costo idrogeno in 20y'!$A$52:$A$55</c:f>
              <c:strCache>
                <c:ptCount val="4"/>
                <c:pt idx="0">
                  <c:v>WEC Literature</c:v>
                </c:pt>
                <c:pt idx="1">
                  <c:v>MWEC Literature</c:v>
                </c:pt>
                <c:pt idx="2">
                  <c:v>MWEC This work old curve</c:v>
                </c:pt>
                <c:pt idx="3">
                  <c:v>MWEC This work new curve</c:v>
                </c:pt>
              </c:strCache>
            </c:strRef>
          </c:cat>
          <c:val>
            <c:numRef>
              <c:f>'costo idrogeno in 20y'!$B$52:$B$55</c:f>
              <c:numCache>
                <c:formatCode>General</c:formatCode>
                <c:ptCount val="4"/>
                <c:pt idx="0">
                  <c:v>46.73</c:v>
                </c:pt>
                <c:pt idx="1">
                  <c:v>15</c:v>
                </c:pt>
                <c:pt idx="2">
                  <c:v>24.31</c:v>
                </c:pt>
                <c:pt idx="3">
                  <c:v>19.02</c:v>
                </c:pt>
              </c:numCache>
            </c:numRef>
          </c:val>
          <c:extLst>
            <c:ext xmlns:c16="http://schemas.microsoft.com/office/drawing/2014/chart" uri="{C3380CC4-5D6E-409C-BE32-E72D297353CC}">
              <c16:uniqueId val="{00000000-1CCB-4734-8B85-A1854027B2B3}"/>
            </c:ext>
          </c:extLst>
        </c:ser>
        <c:ser>
          <c:idx val="1"/>
          <c:order val="1"/>
          <c:tx>
            <c:v>Upper</c:v>
          </c:tx>
          <c:spPr>
            <a:solidFill>
              <a:srgbClr val="FFD85D"/>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'costo idrogeno in 20y'!$A$52:$A$55</c:f>
              <c:strCache>
                <c:ptCount val="4"/>
                <c:pt idx="0">
                  <c:v>WEC Literature</c:v>
                </c:pt>
                <c:pt idx="1">
                  <c:v>MWEC Literature</c:v>
                </c:pt>
                <c:pt idx="2">
                  <c:v>MWEC This work old curve</c:v>
                </c:pt>
                <c:pt idx="3">
                  <c:v>MWEC This work new curve</c:v>
                </c:pt>
              </c:strCache>
            </c:strRef>
          </c:cat>
          <c:val>
            <c:numRef>
              <c:f>'costo idrogeno in 20y'!$C$52:$C$55</c:f>
              <c:numCache>
                <c:formatCode>General</c:formatCode>
                <c:ptCount val="4"/>
                <c:pt idx="0">
                  <c:v>73.400000000000006</c:v>
                </c:pt>
                <c:pt idx="1">
                  <c:v>20</c:v>
                </c:pt>
              </c:numCache>
            </c:numRef>
          </c:val>
          <c:extLst>
            <c:ext xmlns:c16="http://schemas.microsoft.com/office/drawing/2014/chart" uri="{C3380CC4-5D6E-409C-BE32-E72D297353CC}">
              <c16:uniqueId val="{00000001-1CCB-4734-8B85-A1854027B2B3}"/>
            </c:ext>
          </c:extLst>
        </c:ser>
        <c:dLbls>
          <c:dLblPos val="outEnd"/>
          <c:showLegendKey val="0"/>
          <c:showVal val="1"/>
          <c:showCatName val="0"/>
          <c:showSerName val="0"/>
          <c:showPercent val="0"/>
          <c:showBubbleSize val="0"/>
        </c:dLbls>
        <c:gapWidth val="219"/>
        <c:overlap val="-27"/>
        <c:axId val="287706719"/>
        <c:axId val="1290935311"/>
      </c:barChart>
      <c:catAx>
        <c:axId val="287706719"/>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crossAx val="1290935311"/>
        <c:crosses val="autoZero"/>
        <c:auto val="1"/>
        <c:lblAlgn val="ctr"/>
        <c:lblOffset val="100"/>
        <c:noMultiLvlLbl val="0"/>
      </c:catAx>
      <c:valAx>
        <c:axId val="129093531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sz="1600" baseline="0"/>
                  <a:t> </a:t>
                </a:r>
                <a:r>
                  <a:rPr lang="it-IT" sz="1600" b="1" baseline="0"/>
                  <a:t>E</a:t>
                </a:r>
                <a:r>
                  <a:rPr lang="it-IT" sz="1600" b="1" baseline="-25000"/>
                  <a:t>specific</a:t>
                </a:r>
                <a:r>
                  <a:rPr lang="it-IT" sz="1600" baseline="-25000"/>
                  <a:t> </a:t>
                </a:r>
                <a:r>
                  <a:rPr lang="it-IT" sz="1100" b="1" i="0" u="none" strike="noStrike" baseline="0">
                    <a:effectLst/>
                  </a:rPr>
                  <a:t>[kWh/kg]</a:t>
                </a:r>
                <a:r>
                  <a:rPr lang="it-IT" sz="1100" baseline="-25000"/>
                  <a:t> </a:t>
                </a:r>
                <a:endParaRPr lang="it-IT" sz="1600" baseline="0"/>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crossAx val="28770671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rgbClr val="F6F2EE"/>
      </a:solidFill>
      <a:round/>
    </a:ln>
    <a:effectLst/>
  </c:spPr>
  <c:txPr>
    <a:bodyPr/>
    <a:lstStyle/>
    <a:p>
      <a:pPr>
        <a:defRPr/>
      </a:pPr>
      <a:endParaRPr lang="it-IT"/>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sz="1800" b="1"/>
              <a:t>Specific energy consumption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tx>
            <c:v>Lower</c:v>
          </c:tx>
          <c:spPr>
            <a:solidFill>
              <a:srgbClr val="99663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'costo idrogeno in 20y'!$A$52:$A$55</c:f>
              <c:strCache>
                <c:ptCount val="4"/>
                <c:pt idx="0">
                  <c:v>WEC Literature</c:v>
                </c:pt>
                <c:pt idx="1">
                  <c:v>MWEC Literature</c:v>
                </c:pt>
                <c:pt idx="2">
                  <c:v>MWEC This work old curve</c:v>
                </c:pt>
                <c:pt idx="3">
                  <c:v>MWEC This work new curve</c:v>
                </c:pt>
              </c:strCache>
            </c:strRef>
          </c:cat>
          <c:val>
            <c:numRef>
              <c:f>'costo idrogeno in 20y'!$B$52:$B$55</c:f>
              <c:numCache>
                <c:formatCode>General</c:formatCode>
                <c:ptCount val="4"/>
                <c:pt idx="0">
                  <c:v>46.73</c:v>
                </c:pt>
                <c:pt idx="1">
                  <c:v>15</c:v>
                </c:pt>
                <c:pt idx="2">
                  <c:v>24.31</c:v>
                </c:pt>
                <c:pt idx="3">
                  <c:v>19.02</c:v>
                </c:pt>
              </c:numCache>
            </c:numRef>
          </c:val>
          <c:extLst>
            <c:ext xmlns:c16="http://schemas.microsoft.com/office/drawing/2014/chart" uri="{C3380CC4-5D6E-409C-BE32-E72D297353CC}">
              <c16:uniqueId val="{00000000-1CCB-4734-8B85-A1854027B2B3}"/>
            </c:ext>
          </c:extLst>
        </c:ser>
        <c:ser>
          <c:idx val="1"/>
          <c:order val="1"/>
          <c:tx>
            <c:v>Upper</c:v>
          </c:tx>
          <c:spPr>
            <a:solidFill>
              <a:srgbClr val="FFD85D"/>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'costo idrogeno in 20y'!$A$52:$A$55</c:f>
              <c:strCache>
                <c:ptCount val="4"/>
                <c:pt idx="0">
                  <c:v>WEC Literature</c:v>
                </c:pt>
                <c:pt idx="1">
                  <c:v>MWEC Literature</c:v>
                </c:pt>
                <c:pt idx="2">
                  <c:v>MWEC This work old curve</c:v>
                </c:pt>
                <c:pt idx="3">
                  <c:v>MWEC This work new curve</c:v>
                </c:pt>
              </c:strCache>
            </c:strRef>
          </c:cat>
          <c:val>
            <c:numRef>
              <c:f>'costo idrogeno in 20y'!$C$52:$C$55</c:f>
              <c:numCache>
                <c:formatCode>General</c:formatCode>
                <c:ptCount val="4"/>
                <c:pt idx="0">
                  <c:v>73.400000000000006</c:v>
                </c:pt>
                <c:pt idx="1">
                  <c:v>20</c:v>
                </c:pt>
              </c:numCache>
            </c:numRef>
          </c:val>
          <c:extLst>
            <c:ext xmlns:c16="http://schemas.microsoft.com/office/drawing/2014/chart" uri="{C3380CC4-5D6E-409C-BE32-E72D297353CC}">
              <c16:uniqueId val="{00000001-1CCB-4734-8B85-A1854027B2B3}"/>
            </c:ext>
          </c:extLst>
        </c:ser>
        <c:dLbls>
          <c:dLblPos val="outEnd"/>
          <c:showLegendKey val="0"/>
          <c:showVal val="1"/>
          <c:showCatName val="0"/>
          <c:showSerName val="0"/>
          <c:showPercent val="0"/>
          <c:showBubbleSize val="0"/>
        </c:dLbls>
        <c:gapWidth val="219"/>
        <c:overlap val="-27"/>
        <c:axId val="287706719"/>
        <c:axId val="1290935311"/>
      </c:barChart>
      <c:catAx>
        <c:axId val="287706719"/>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it-IT"/>
          </a:p>
        </c:txPr>
        <c:crossAx val="1290935311"/>
        <c:crosses val="autoZero"/>
        <c:auto val="1"/>
        <c:lblAlgn val="ctr"/>
        <c:lblOffset val="100"/>
        <c:noMultiLvlLbl val="0"/>
      </c:catAx>
      <c:valAx>
        <c:axId val="129093531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sz="1600" baseline="0"/>
                  <a:t> </a:t>
                </a:r>
                <a:r>
                  <a:rPr lang="it-IT" sz="1600" b="1" baseline="0"/>
                  <a:t>E</a:t>
                </a:r>
                <a:r>
                  <a:rPr lang="it-IT" sz="1600" b="1" baseline="-25000"/>
                  <a:t>specific</a:t>
                </a:r>
                <a:r>
                  <a:rPr lang="it-IT" sz="1600" baseline="-25000"/>
                  <a:t> </a:t>
                </a:r>
                <a:r>
                  <a:rPr lang="it-IT" sz="1100" b="1" i="0" u="none" strike="noStrike" baseline="0">
                    <a:effectLst/>
                  </a:rPr>
                  <a:t>[kWh/kg]</a:t>
                </a:r>
                <a:r>
                  <a:rPr lang="it-IT" sz="1100" baseline="-25000"/>
                  <a:t> </a:t>
                </a:r>
                <a:endParaRPr lang="it-IT" sz="1600" baseline="0"/>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crossAx val="28770671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bg1"/>
      </a:solidFill>
      <a:round/>
    </a:ln>
    <a:effectLst/>
  </c:spPr>
  <c:txPr>
    <a:bodyPr/>
    <a:lstStyle/>
    <a:p>
      <a:pPr>
        <a:defRPr/>
      </a:pPr>
      <a:endParaRPr lang="it-IT"/>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en-US" sz="2000" b="1"/>
              <a:t>Cost distribution</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it-I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1.3509252097052711E-2"/>
          <c:y val="0.12251961251436776"/>
          <c:w val="0.97298149580589455"/>
          <c:h val="0.65287182525377685"/>
        </c:manualLayout>
      </c:layout>
      <c:pie3DChart>
        <c:varyColors val="1"/>
        <c:ser>
          <c:idx val="0"/>
          <c:order val="0"/>
          <c:dPt>
            <c:idx val="0"/>
            <c:bubble3D val="0"/>
            <c:spPr>
              <a:solidFill>
                <a:srgbClr val="00B050"/>
              </a:solidFill>
              <a:ln w="25400">
                <a:solidFill>
                  <a:schemeClr val="lt1"/>
                </a:solidFill>
              </a:ln>
              <a:effectLst/>
              <a:sp3d contourW="25400">
                <a:contourClr>
                  <a:schemeClr val="lt1"/>
                </a:contourClr>
              </a:sp3d>
            </c:spPr>
            <c:extLst>
              <c:ext xmlns:c16="http://schemas.microsoft.com/office/drawing/2014/chart" uri="{C3380CC4-5D6E-409C-BE32-E72D297353CC}">
                <c16:uniqueId val="{00000001-B0CC-46F8-B6E8-1636BA8A172A}"/>
              </c:ext>
            </c:extLst>
          </c:dPt>
          <c:dPt>
            <c:idx val="1"/>
            <c:bubble3D val="0"/>
            <c:spPr>
              <a:solidFill>
                <a:srgbClr val="00B0F0"/>
              </a:solidFill>
              <a:ln w="25400">
                <a:solidFill>
                  <a:schemeClr val="lt1"/>
                </a:solidFill>
              </a:ln>
              <a:effectLst/>
              <a:sp3d contourW="25400">
                <a:contourClr>
                  <a:schemeClr val="lt1"/>
                </a:contourClr>
              </a:sp3d>
            </c:spPr>
            <c:extLst>
              <c:ext xmlns:c16="http://schemas.microsoft.com/office/drawing/2014/chart" uri="{C3380CC4-5D6E-409C-BE32-E72D297353CC}">
                <c16:uniqueId val="{00000003-B0CC-46F8-B6E8-1636BA8A172A}"/>
              </c:ext>
            </c:extLst>
          </c:dPt>
          <c:dPt>
            <c:idx val="2"/>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5-B0CC-46F8-B6E8-1636BA8A172A}"/>
              </c:ext>
            </c:extLst>
          </c:dPt>
          <c:dPt>
            <c:idx val="3"/>
            <c:bubble3D val="0"/>
            <c:spPr>
              <a:solidFill>
                <a:srgbClr val="FFFF00"/>
              </a:solidFill>
              <a:ln w="25400">
                <a:solidFill>
                  <a:schemeClr val="lt1"/>
                </a:solidFill>
              </a:ln>
              <a:effectLst/>
              <a:sp3d contourW="25400">
                <a:contourClr>
                  <a:schemeClr val="lt1"/>
                </a:contourClr>
              </a:sp3d>
            </c:spPr>
            <c:extLst>
              <c:ext xmlns:c16="http://schemas.microsoft.com/office/drawing/2014/chart" uri="{C3380CC4-5D6E-409C-BE32-E72D297353CC}">
                <c16:uniqueId val="{00000007-B0CC-46F8-B6E8-1636BA8A172A}"/>
              </c:ext>
            </c:extLst>
          </c:dPt>
          <c:dPt>
            <c:idx val="4"/>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9-B0CC-46F8-B6E8-1636BA8A172A}"/>
              </c:ext>
            </c:extLst>
          </c:dPt>
          <c:dPt>
            <c:idx val="5"/>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B-B0CC-46F8-B6E8-1636BA8A172A}"/>
              </c:ext>
            </c:extLst>
          </c:dPt>
          <c:dLbls>
            <c:dLbl>
              <c:idx val="1"/>
              <c:layout>
                <c:manualLayout>
                  <c:x val="-0.13611129077695827"/>
                  <c:y val="-0.10838751367209613"/>
                </c:manualLayout>
              </c:layout>
              <c:tx>
                <c:rich>
                  <a:bodyPr rot="0" spcFirstLastPara="1" vertOverflow="ellipsis" vert="horz" wrap="square" lIns="38100" tIns="19050" rIns="38100" bIns="19050" anchor="ctr" anchorCtr="1">
                    <a:noAutofit/>
                  </a:bodyPr>
                  <a:lstStyle/>
                  <a:p>
                    <a:pPr>
                      <a:defRPr sz="1200" b="1" i="0" u="none" strike="noStrike" kern="1200" baseline="0">
                        <a:solidFill>
                          <a:schemeClr val="tx1">
                            <a:lumMod val="75000"/>
                            <a:lumOff val="25000"/>
                          </a:schemeClr>
                        </a:solidFill>
                        <a:latin typeface="+mn-lt"/>
                        <a:ea typeface="+mn-ea"/>
                        <a:cs typeface="+mn-cs"/>
                      </a:defRPr>
                    </a:pPr>
                    <a:fld id="{6B6E2BF8-46FC-4C31-AA9A-FB3B3469E9FA}" type="CATEGORYNAME">
                      <a:rPr lang="en-US"/>
                      <a:pPr>
                        <a:defRPr sz="1200" b="1"/>
                      </a:pPr>
                      <a:t>[NOME CATEGORIA]</a:t>
                    </a:fld>
                    <a:endParaRPr lang="en-US"/>
                  </a:p>
                  <a:p>
                    <a:pPr>
                      <a:defRPr sz="1200" b="1"/>
                    </a:pPr>
                    <a:r>
                      <a:rPr lang="en-US"/>
                      <a:t> </a:t>
                    </a:r>
                    <a:fld id="{49DDB8A6-8F94-4DEB-8C12-0C0BE70388E5}" type="PERCENTAGE">
                      <a:rPr lang="en-US" baseline="0"/>
                      <a:pPr>
                        <a:defRPr sz="1200" b="1"/>
                      </a:pPr>
                      <a:t>[PERCENTUALE]</a:t>
                    </a:fld>
                    <a:endParaRPr lang="en-US"/>
                  </a:p>
                </c:rich>
              </c:tx>
              <c:spPr>
                <a:noFill/>
                <a:ln>
                  <a:noFill/>
                </a:ln>
                <a:effectLst/>
              </c:spPr>
              <c:txPr>
                <a:bodyPr rot="0" spcFirstLastPara="1" vertOverflow="ellipsis" vert="horz" wrap="square" lIns="38100" tIns="19050" rIns="38100" bIns="19050" anchor="ctr" anchorCtr="1">
                  <a:noAutofit/>
                </a:bodyPr>
                <a:lstStyle/>
                <a:p>
                  <a:pPr>
                    <a:defRPr sz="1200" b="1" i="0" u="none" strike="noStrike" kern="1200" baseline="0">
                      <a:solidFill>
                        <a:schemeClr val="tx1">
                          <a:lumMod val="75000"/>
                          <a:lumOff val="25000"/>
                        </a:schemeClr>
                      </a:solidFill>
                      <a:latin typeface="+mn-lt"/>
                      <a:ea typeface="+mn-ea"/>
                      <a:cs typeface="+mn-cs"/>
                    </a:defRPr>
                  </a:pPr>
                  <a:endParaRPr lang="it-IT"/>
                </a:p>
              </c:txPr>
              <c:dLblPos val="bestFit"/>
              <c:showLegendKey val="0"/>
              <c:showVal val="0"/>
              <c:showCatName val="1"/>
              <c:showSerName val="0"/>
              <c:showPercent val="1"/>
              <c:showBubbleSize val="0"/>
              <c:extLst>
                <c:ext xmlns:c15="http://schemas.microsoft.com/office/drawing/2012/chart" uri="{CE6537A1-D6FC-4f65-9D91-7224C49458BB}">
                  <c15:layout>
                    <c:manualLayout>
                      <c:w val="0.27550350480459962"/>
                      <c:h val="0.12760481444716512"/>
                    </c:manualLayout>
                  </c15:layout>
                  <c15:dlblFieldTable/>
                  <c15:showDataLabelsRange val="0"/>
                </c:ext>
                <c:ext xmlns:c16="http://schemas.microsoft.com/office/drawing/2014/chart" uri="{C3380CC4-5D6E-409C-BE32-E72D297353CC}">
                  <c16:uniqueId val="{00000003-B0CC-46F8-B6E8-1636BA8A172A}"/>
                </c:ext>
              </c:extLst>
            </c:dLbl>
            <c:dLbl>
              <c:idx val="2"/>
              <c:layout>
                <c:manualLayout>
                  <c:x val="-0.13016037035719646"/>
                  <c:y val="-0.24279985835612816"/>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0CC-46F8-B6E8-1636BA8A172A}"/>
                </c:ext>
              </c:extLst>
            </c:dLbl>
            <c:dLbl>
              <c:idx val="3"/>
              <c:layout>
                <c:manualLayout>
                  <c:x val="1.7960632538232293E-2"/>
                  <c:y val="-0.22382429532279965"/>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B0CC-46F8-B6E8-1636BA8A172A}"/>
                </c:ext>
              </c:extLst>
            </c:dLbl>
            <c:dLbl>
              <c:idx val="4"/>
              <c:layout>
                <c:manualLayout>
                  <c:x val="0.11219000571954621"/>
                  <c:y val="-0.30064591559869069"/>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B0CC-46F8-B6E8-1636BA8A172A}"/>
                </c:ext>
              </c:extLst>
            </c:dLbl>
            <c:dLbl>
              <c:idx val="5"/>
              <c:layout>
                <c:manualLayout>
                  <c:x val="0.13781686273114915"/>
                  <c:y val="5.3955524079139583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B0CC-46F8-B6E8-1636BA8A172A}"/>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it-IT"/>
              </a:p>
            </c:txPr>
            <c:dLblPos val="in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'contributi LCOH 0,08 '!$I$25:$O$25</c15:sqref>
                  </c15:fullRef>
                </c:ext>
              </c:extLst>
              <c:f>('contributi LCOH 0,08 '!$I$25,'contributi LCOH 0,08 '!$K$25:$O$25)</c:f>
              <c:strCache>
                <c:ptCount val="6"/>
                <c:pt idx="0">
                  <c:v>ELECTRICITY COST [M€]</c:v>
                </c:pt>
                <c:pt idx="1">
                  <c:v>MAINTENAINCE AND CO2 CAPTURE AND STORAGE [M€]</c:v>
                </c:pt>
                <c:pt idx="2">
                  <c:v>METHANOL COST [M€]</c:v>
                </c:pt>
                <c:pt idx="3">
                  <c:v>DECOMISSIONING [M€]</c:v>
                </c:pt>
                <c:pt idx="4">
                  <c:v>STACK SUBSTITUTION [M€]</c:v>
                </c:pt>
                <c:pt idx="5">
                  <c:v>FIXED COST [M€]</c:v>
                </c:pt>
              </c:strCache>
            </c:strRef>
          </c:cat>
          <c:val>
            <c:numRef>
              <c:extLst>
                <c:ext xmlns:c15="http://schemas.microsoft.com/office/drawing/2012/chart" uri="{02D57815-91ED-43cb-92C2-25804820EDAC}">
                  <c15:fullRef>
                    <c15:sqref>'contributi LCOH 0,08 '!$I$26:$O$26</c15:sqref>
                  </c15:fullRef>
                </c:ext>
              </c:extLst>
              <c:f>('contributi LCOH 0,08 '!$I$26,'contributi LCOH 0,08 '!$K$26:$O$26)</c:f>
              <c:numCache>
                <c:formatCode>0.0000</c:formatCode>
                <c:ptCount val="6"/>
                <c:pt idx="0" formatCode="0.000">
                  <c:v>15.42519424551088</c:v>
                </c:pt>
                <c:pt idx="1">
                  <c:v>4.6682184381513157</c:v>
                </c:pt>
                <c:pt idx="2" formatCode="0.000">
                  <c:v>17.256044455365139</c:v>
                </c:pt>
                <c:pt idx="3" formatCode="0.000">
                  <c:v>3.3202633386189007</c:v>
                </c:pt>
                <c:pt idx="4" formatCode="General">
                  <c:v>6.6405266772378013</c:v>
                </c:pt>
                <c:pt idx="5" formatCode="0.000">
                  <c:v>36.657586509675355</c:v>
                </c:pt>
              </c:numCache>
            </c:numRef>
          </c:val>
          <c:extLst>
            <c:ext xmlns:c15="http://schemas.microsoft.com/office/drawing/2012/chart" uri="{02D57815-91ED-43cb-92C2-25804820EDAC}">
              <c15:categoryFilterExceptions>
                <c15:categoryFilterException>
                  <c15:sqref>'contributi LCOH 0,08 '!$J$26</c15:sqref>
                  <c15:spPr xmlns:c15="http://schemas.microsoft.com/office/drawing/2012/chart">
                    <a:solidFill>
                      <a:schemeClr val="accent2"/>
                    </a:solidFill>
                    <a:ln w="25400">
                      <a:solidFill>
                        <a:schemeClr val="lt1"/>
                      </a:solidFill>
                    </a:ln>
                    <a:effectLst/>
                    <a:sp3d contourW="25400">
                      <a:contourClr>
                        <a:schemeClr val="lt1"/>
                      </a:contourClr>
                    </a:sp3d>
                  </c15:spPr>
                  <c15:bubble3D val="0"/>
                  <c15:dLbl>
                    <c:idx val="0"/>
                    <c:layout>
                      <c:manualLayout>
                        <c:x val="-0.10745921534273109"/>
                        <c:y val="-0.11453589433724029"/>
                      </c:manualLayout>
                    </c:layout>
                    <c:dLblPos val="bestFit"/>
                    <c:showLegendKey val="0"/>
                    <c:showVal val="0"/>
                    <c:showCatName val="1"/>
                    <c:showSerName val="0"/>
                    <c:showPercent val="1"/>
                    <c:showBubbleSize val="0"/>
                    <c:extLst>
                      <c:ext uri="{CE6537A1-D6FC-4f65-9D91-7224C49458BB}"/>
                      <c:ext xmlns:c16="http://schemas.microsoft.com/office/drawing/2014/chart" uri="{C3380CC4-5D6E-409C-BE32-E72D297353CC}">
                        <c16:uniqueId val="{0000000D-80B2-4DE9-81B6-3AA0EA154F1C}"/>
                      </c:ext>
                    </c:extLst>
                  </c15:dLbl>
                </c15:categoryFilterException>
              </c15:categoryFilterExceptions>
            </c:ext>
            <c:ext xmlns:c16="http://schemas.microsoft.com/office/drawing/2014/chart" uri="{C3380CC4-5D6E-409C-BE32-E72D297353CC}">
              <c16:uniqueId val="{0000000C-B0CC-46F8-B6E8-1636BA8A172A}"/>
            </c:ext>
          </c:extLst>
        </c:ser>
        <c:dLbls>
          <c:dLblPos val="inEnd"/>
          <c:showLegendKey val="0"/>
          <c:showVal val="0"/>
          <c:showCatName val="1"/>
          <c:showSerName val="0"/>
          <c:showPercent val="0"/>
          <c:showBubbleSize val="0"/>
          <c:showLeaderLines val="1"/>
        </c:dLbls>
      </c:pie3DChart>
      <c:spPr>
        <a:noFill/>
        <a:ln>
          <a:noFill/>
        </a:ln>
        <a:effectLst/>
      </c:spPr>
    </c:plotArea>
    <c:legend>
      <c:legendPos val="r"/>
      <c:layout>
        <c:manualLayout>
          <c:xMode val="edge"/>
          <c:yMode val="edge"/>
          <c:x val="5.9320798900615737E-3"/>
          <c:y val="0.78770328115437638"/>
          <c:w val="0.99038357862892401"/>
          <c:h val="0.21076599637903207"/>
        </c:manualLayout>
      </c:layout>
      <c:overlay val="0"/>
      <c:spPr>
        <a:noFill/>
        <a:ln>
          <a:solidFill>
            <a:schemeClr val="tx1">
              <a:alpha val="92000"/>
            </a:schemeClr>
          </a:solid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bg1"/>
      </a:solidFill>
      <a:round/>
    </a:ln>
    <a:effectLst/>
  </c:spPr>
  <c:txPr>
    <a:bodyPr/>
    <a:lstStyle/>
    <a:p>
      <a:pPr>
        <a:defRPr/>
      </a:pPr>
      <a:endParaRPr lang="it-IT"/>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LCOH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manualLayout>
          <c:layoutTarget val="inner"/>
          <c:xMode val="edge"/>
          <c:yMode val="edge"/>
          <c:x val="5.3703363014202664E-2"/>
          <c:y val="0.12855457298606907"/>
          <c:w val="0.91592280521009639"/>
          <c:h val="0.63351689884918228"/>
        </c:manualLayout>
      </c:layout>
      <c:barChart>
        <c:barDir val="col"/>
        <c:grouping val="stacked"/>
        <c:varyColors val="0"/>
        <c:ser>
          <c:idx val="0"/>
          <c:order val="0"/>
          <c:tx>
            <c:strRef>
              <c:f>'contributi LCOH 0,08 '!$W$61</c:f>
              <c:strCache>
                <c:ptCount val="1"/>
                <c:pt idx="0">
                  <c:v>ELECTROLYSER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0,08 '!$W$62</c:f>
              <c:numCache>
                <c:formatCode>0.000</c:formatCode>
                <c:ptCount val="1"/>
                <c:pt idx="0">
                  <c:v>4.6691884627573357</c:v>
                </c:pt>
              </c:numCache>
            </c:numRef>
          </c:val>
          <c:extLst>
            <c:ext xmlns:c16="http://schemas.microsoft.com/office/drawing/2014/chart" uri="{C3380CC4-5D6E-409C-BE32-E72D297353CC}">
              <c16:uniqueId val="{00000000-D459-4718-860A-87C3437B2943}"/>
            </c:ext>
          </c:extLst>
        </c:ser>
        <c:ser>
          <c:idx val="1"/>
          <c:order val="1"/>
          <c:tx>
            <c:strRef>
              <c:f>'contributi LCOH 0,08 '!$X$61</c:f>
              <c:strCache>
                <c:ptCount val="1"/>
                <c:pt idx="0">
                  <c:v>METHANOL TANK</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0,08 '!$X$62</c:f>
              <c:numCache>
                <c:formatCode>0.000</c:formatCode>
                <c:ptCount val="1"/>
                <c:pt idx="0">
                  <c:v>3.118826766617442E-2</c:v>
                </c:pt>
              </c:numCache>
            </c:numRef>
          </c:val>
          <c:extLst>
            <c:ext xmlns:c16="http://schemas.microsoft.com/office/drawing/2014/chart" uri="{C3380CC4-5D6E-409C-BE32-E72D297353CC}">
              <c16:uniqueId val="{00000001-D459-4718-860A-87C3437B2943}"/>
            </c:ext>
          </c:extLst>
        </c:ser>
        <c:ser>
          <c:idx val="2"/>
          <c:order val="2"/>
          <c:tx>
            <c:strRef>
              <c:f>'contributi LCOH 0,08 '!$Y$61</c:f>
              <c:strCache>
                <c:ptCount val="1"/>
                <c:pt idx="0">
                  <c:v>H2 STORAGE</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0,08 '!$Y$62</c:f>
              <c:numCache>
                <c:formatCode>0.000</c:formatCode>
                <c:ptCount val="1"/>
                <c:pt idx="0">
                  <c:v>0.45467160603468931</c:v>
                </c:pt>
              </c:numCache>
            </c:numRef>
          </c:val>
          <c:extLst>
            <c:ext xmlns:c16="http://schemas.microsoft.com/office/drawing/2014/chart" uri="{C3380CC4-5D6E-409C-BE32-E72D297353CC}">
              <c16:uniqueId val="{00000002-D459-4718-860A-87C3437B2943}"/>
            </c:ext>
          </c:extLst>
        </c:ser>
        <c:ser>
          <c:idx val="3"/>
          <c:order val="3"/>
          <c:tx>
            <c:strRef>
              <c:f>'contributi LCOH 0,08 '!$Z$61</c:f>
              <c:strCache>
                <c:ptCount val="1"/>
                <c:pt idx="0">
                  <c:v>DECOM.+REPLACE.</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0,08 '!$Z$62</c:f>
              <c:numCache>
                <c:formatCode>0.000</c:formatCode>
                <c:ptCount val="1"/>
                <c:pt idx="0">
                  <c:v>1.4007565388272007</c:v>
                </c:pt>
              </c:numCache>
            </c:numRef>
          </c:val>
          <c:extLst>
            <c:ext xmlns:c16="http://schemas.microsoft.com/office/drawing/2014/chart" uri="{C3380CC4-5D6E-409C-BE32-E72D297353CC}">
              <c16:uniqueId val="{00000003-D459-4718-860A-87C3437B2943}"/>
            </c:ext>
          </c:extLst>
        </c:ser>
        <c:ser>
          <c:idx val="4"/>
          <c:order val="4"/>
          <c:tx>
            <c:strRef>
              <c:f>'contributi LCOH 0,08 '!$AA$61</c:f>
              <c:strCache>
                <c:ptCount val="1"/>
                <c:pt idx="0">
                  <c:v>METHANOL</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0,08 '!$AA$62</c:f>
              <c:numCache>
                <c:formatCode>0.000</c:formatCode>
                <c:ptCount val="1"/>
                <c:pt idx="0">
                  <c:v>1.6211473716630753</c:v>
                </c:pt>
              </c:numCache>
            </c:numRef>
          </c:val>
          <c:extLst>
            <c:ext xmlns:c16="http://schemas.microsoft.com/office/drawing/2014/chart" uri="{C3380CC4-5D6E-409C-BE32-E72D297353CC}">
              <c16:uniqueId val="{00000004-D459-4718-860A-87C3437B2943}"/>
            </c:ext>
          </c:extLst>
        </c:ser>
        <c:ser>
          <c:idx val="5"/>
          <c:order val="5"/>
          <c:tx>
            <c:strRef>
              <c:f>'contributi LCOH 0,08 '!$AB$61</c:f>
              <c:strCache>
                <c:ptCount val="1"/>
                <c:pt idx="0">
                  <c:v>ELECTRICITY</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0,08 '!$AB$62</c:f>
              <c:numCache>
                <c:formatCode>0.000</c:formatCode>
                <c:ptCount val="1"/>
                <c:pt idx="0">
                  <c:v>1.4491451487149756</c:v>
                </c:pt>
              </c:numCache>
            </c:numRef>
          </c:val>
          <c:extLst>
            <c:ext xmlns:c16="http://schemas.microsoft.com/office/drawing/2014/chart" uri="{C3380CC4-5D6E-409C-BE32-E72D297353CC}">
              <c16:uniqueId val="{00000005-D459-4718-860A-87C3437B2943}"/>
            </c:ext>
          </c:extLst>
        </c:ser>
        <c:ser>
          <c:idx val="6"/>
          <c:order val="6"/>
          <c:tx>
            <c:strRef>
              <c:f>'contributi LCOH 0,08 '!$AC$61</c:f>
              <c:strCache>
                <c:ptCount val="1"/>
                <c:pt idx="0">
                  <c:v>O&amp;M+CO2</c:v>
                </c:pt>
              </c:strCache>
            </c:strRef>
          </c:tx>
          <c:spPr>
            <a:solidFill>
              <a:schemeClr val="accent1">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0,08 '!$AC$62</c:f>
              <c:numCache>
                <c:formatCode>0.000</c:formatCode>
                <c:ptCount val="1"/>
                <c:pt idx="0">
                  <c:v>0.43856343039294582</c:v>
                </c:pt>
              </c:numCache>
            </c:numRef>
          </c:val>
          <c:extLst>
            <c:ext xmlns:c16="http://schemas.microsoft.com/office/drawing/2014/chart" uri="{C3380CC4-5D6E-409C-BE32-E72D297353CC}">
              <c16:uniqueId val="{00000006-D459-4718-860A-87C3437B2943}"/>
            </c:ext>
          </c:extLst>
        </c:ser>
        <c:dLbls>
          <c:dLblPos val="ctr"/>
          <c:showLegendKey val="0"/>
          <c:showVal val="1"/>
          <c:showCatName val="0"/>
          <c:showSerName val="0"/>
          <c:showPercent val="0"/>
          <c:showBubbleSize val="0"/>
        </c:dLbls>
        <c:gapWidth val="150"/>
        <c:overlap val="100"/>
        <c:axId val="883218127"/>
        <c:axId val="10863311"/>
      </c:barChart>
      <c:catAx>
        <c:axId val="883218127"/>
        <c:scaling>
          <c:orientation val="minMax"/>
        </c:scaling>
        <c:delete val="0"/>
        <c:axPos val="b"/>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0863311"/>
        <c:crosses val="autoZero"/>
        <c:auto val="1"/>
        <c:lblAlgn val="ctr"/>
        <c:lblOffset val="100"/>
        <c:noMultiLvlLbl val="0"/>
      </c:catAx>
      <c:valAx>
        <c:axId val="10863311"/>
        <c:scaling>
          <c:orientation val="minMax"/>
        </c:scaling>
        <c:delete val="0"/>
        <c:axPos val="l"/>
        <c:majorGridlines>
          <c:spPr>
            <a:ln w="9525" cap="flat" cmpd="sng" algn="ctr">
              <a:solidFill>
                <a:schemeClr val="tx1">
                  <a:lumMod val="15000"/>
                  <a:lumOff val="85000"/>
                </a:schemeClr>
              </a:solidFill>
              <a:round/>
            </a:ln>
            <a:effectLst/>
          </c:spPr>
        </c:majorGridlines>
        <c:title>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8321812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it-IT" b="1"/>
              <a:t>LCOH results: 80 euro/MWh</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stacked"/>
        <c:varyColors val="0"/>
        <c:ser>
          <c:idx val="0"/>
          <c:order val="0"/>
          <c:tx>
            <c:strRef>
              <c:f>'contributi LCOH 0,08 '!$AH$72</c:f>
              <c:strCache>
                <c:ptCount val="1"/>
                <c:pt idx="0">
                  <c:v>ELECTROLYSER</c:v>
                </c:pt>
              </c:strCache>
            </c:strRef>
          </c:tx>
          <c:spPr>
            <a:solidFill>
              <a:schemeClr val="accent1"/>
            </a:solidFill>
            <a:ln>
              <a:noFill/>
            </a:ln>
            <a:effectLst/>
          </c:spPr>
          <c:invertIfNegative val="0"/>
          <c:cat>
            <c:strRef>
              <c:f>'contributi LCOH 0,08 '!$AG$73:$AG$75</c:f>
              <c:strCache>
                <c:ptCount val="3"/>
                <c:pt idx="0">
                  <c:v>LCOH1</c:v>
                </c:pt>
                <c:pt idx="1">
                  <c:v>LCOH2</c:v>
                </c:pt>
                <c:pt idx="2">
                  <c:v>LCOH3</c:v>
                </c:pt>
              </c:strCache>
            </c:strRef>
          </c:cat>
          <c:val>
            <c:numRef>
              <c:f>'contributi LCOH 0,08 '!$AH$73:$AH$75</c:f>
              <c:numCache>
                <c:formatCode>0.000</c:formatCode>
                <c:ptCount val="3"/>
                <c:pt idx="0">
                  <c:v>4.6691884627573357</c:v>
                </c:pt>
                <c:pt idx="1">
                  <c:v>6.9892251629993387</c:v>
                </c:pt>
                <c:pt idx="2" formatCode="0.00">
                  <c:v>4.6691884627573357</c:v>
                </c:pt>
              </c:numCache>
            </c:numRef>
          </c:val>
          <c:extLst>
            <c:ext xmlns:c16="http://schemas.microsoft.com/office/drawing/2014/chart" uri="{C3380CC4-5D6E-409C-BE32-E72D297353CC}">
              <c16:uniqueId val="{00000000-4FC3-43DF-9F74-FDE2BFEABB39}"/>
            </c:ext>
          </c:extLst>
        </c:ser>
        <c:ser>
          <c:idx val="1"/>
          <c:order val="1"/>
          <c:tx>
            <c:strRef>
              <c:f>'contributi LCOH 0,08 '!$AI$72</c:f>
              <c:strCache>
                <c:ptCount val="1"/>
                <c:pt idx="0">
                  <c:v>METHANOL TANK</c:v>
                </c:pt>
              </c:strCache>
            </c:strRef>
          </c:tx>
          <c:spPr>
            <a:solidFill>
              <a:schemeClr val="accent2"/>
            </a:solidFill>
            <a:ln>
              <a:noFill/>
            </a:ln>
            <a:effectLst/>
          </c:spPr>
          <c:invertIfNegative val="0"/>
          <c:cat>
            <c:strRef>
              <c:f>'contributi LCOH 0,08 '!$AG$73:$AG$75</c:f>
              <c:strCache>
                <c:ptCount val="3"/>
                <c:pt idx="0">
                  <c:v>LCOH1</c:v>
                </c:pt>
                <c:pt idx="1">
                  <c:v>LCOH2</c:v>
                </c:pt>
                <c:pt idx="2">
                  <c:v>LCOH3</c:v>
                </c:pt>
              </c:strCache>
            </c:strRef>
          </c:cat>
          <c:val>
            <c:numRef>
              <c:f>'contributi LCOH 0,08 '!$AI$73:$AI$75</c:f>
              <c:numCache>
                <c:formatCode>0.000</c:formatCode>
                <c:ptCount val="3"/>
                <c:pt idx="0">
                  <c:v>3.118826766617442E-2</c:v>
                </c:pt>
                <c:pt idx="1">
                  <c:v>4.6685163150184394E-2</c:v>
                </c:pt>
                <c:pt idx="2" formatCode="0.00">
                  <c:v>3.118826766617442E-2</c:v>
                </c:pt>
              </c:numCache>
            </c:numRef>
          </c:val>
          <c:extLst>
            <c:ext xmlns:c16="http://schemas.microsoft.com/office/drawing/2014/chart" uri="{C3380CC4-5D6E-409C-BE32-E72D297353CC}">
              <c16:uniqueId val="{00000001-4FC3-43DF-9F74-FDE2BFEABB39}"/>
            </c:ext>
          </c:extLst>
        </c:ser>
        <c:ser>
          <c:idx val="2"/>
          <c:order val="2"/>
          <c:tx>
            <c:strRef>
              <c:f>'contributi LCOH 0,08 '!$AJ$72</c:f>
              <c:strCache>
                <c:ptCount val="1"/>
                <c:pt idx="0">
                  <c:v>H2 STORAGE</c:v>
                </c:pt>
              </c:strCache>
            </c:strRef>
          </c:tx>
          <c:spPr>
            <a:solidFill>
              <a:schemeClr val="accent3"/>
            </a:solidFill>
            <a:ln>
              <a:noFill/>
            </a:ln>
            <a:effectLst/>
          </c:spPr>
          <c:invertIfNegative val="0"/>
          <c:cat>
            <c:strRef>
              <c:f>'contributi LCOH 0,08 '!$AG$73:$AG$75</c:f>
              <c:strCache>
                <c:ptCount val="3"/>
                <c:pt idx="0">
                  <c:v>LCOH1</c:v>
                </c:pt>
                <c:pt idx="1">
                  <c:v>LCOH2</c:v>
                </c:pt>
                <c:pt idx="2">
                  <c:v>LCOH3</c:v>
                </c:pt>
              </c:strCache>
            </c:strRef>
          </c:cat>
          <c:val>
            <c:numRef>
              <c:f>'contributi LCOH 0,08 '!$AJ$73:$AJ$75</c:f>
              <c:numCache>
                <c:formatCode>0.000</c:formatCode>
                <c:ptCount val="3"/>
                <c:pt idx="0">
                  <c:v>0.45467160603468931</c:v>
                </c:pt>
                <c:pt idx="1">
                  <c:v>0.68058984021440794</c:v>
                </c:pt>
                <c:pt idx="2" formatCode="0.00">
                  <c:v>0.45467160603468931</c:v>
                </c:pt>
              </c:numCache>
            </c:numRef>
          </c:val>
          <c:extLst>
            <c:ext xmlns:c16="http://schemas.microsoft.com/office/drawing/2014/chart" uri="{C3380CC4-5D6E-409C-BE32-E72D297353CC}">
              <c16:uniqueId val="{00000002-4FC3-43DF-9F74-FDE2BFEABB39}"/>
            </c:ext>
          </c:extLst>
        </c:ser>
        <c:ser>
          <c:idx val="3"/>
          <c:order val="3"/>
          <c:tx>
            <c:strRef>
              <c:f>'contributi LCOH 0,08 '!$AK$72</c:f>
              <c:strCache>
                <c:ptCount val="1"/>
                <c:pt idx="0">
                  <c:v>DECOMMISIONING &amp; REPLACEMENT</c:v>
                </c:pt>
              </c:strCache>
            </c:strRef>
          </c:tx>
          <c:spPr>
            <a:solidFill>
              <a:schemeClr val="accent4"/>
            </a:solidFill>
            <a:ln>
              <a:noFill/>
            </a:ln>
            <a:effectLst/>
          </c:spPr>
          <c:invertIfNegative val="0"/>
          <c:cat>
            <c:strRef>
              <c:f>'contributi LCOH 0,08 '!$AG$73:$AG$75</c:f>
              <c:strCache>
                <c:ptCount val="3"/>
                <c:pt idx="0">
                  <c:v>LCOH1</c:v>
                </c:pt>
                <c:pt idx="1">
                  <c:v>LCOH2</c:v>
                </c:pt>
                <c:pt idx="2">
                  <c:v>LCOH3</c:v>
                </c:pt>
              </c:strCache>
            </c:strRef>
          </c:cat>
          <c:val>
            <c:numRef>
              <c:f>'contributi LCOH 0,08 '!$AK$73:$AK$75</c:f>
              <c:numCache>
                <c:formatCode>0.00</c:formatCode>
                <c:ptCount val="3"/>
                <c:pt idx="0" formatCode="0.000">
                  <c:v>1.4007565388272007</c:v>
                </c:pt>
                <c:pt idx="1">
                  <c:v>1.2147241638856254</c:v>
                </c:pt>
                <c:pt idx="2">
                  <c:v>0.81150283746379437</c:v>
                </c:pt>
              </c:numCache>
            </c:numRef>
          </c:val>
          <c:extLst>
            <c:ext xmlns:c16="http://schemas.microsoft.com/office/drawing/2014/chart" uri="{C3380CC4-5D6E-409C-BE32-E72D297353CC}">
              <c16:uniqueId val="{00000003-4FC3-43DF-9F74-FDE2BFEABB39}"/>
            </c:ext>
          </c:extLst>
        </c:ser>
        <c:ser>
          <c:idx val="4"/>
          <c:order val="4"/>
          <c:tx>
            <c:strRef>
              <c:f>'contributi LCOH 0,08 '!$AL$72</c:f>
              <c:strCache>
                <c:ptCount val="1"/>
                <c:pt idx="0">
                  <c:v>METHANOL</c:v>
                </c:pt>
              </c:strCache>
            </c:strRef>
          </c:tx>
          <c:spPr>
            <a:solidFill>
              <a:schemeClr val="accent5"/>
            </a:solidFill>
            <a:ln>
              <a:noFill/>
            </a:ln>
            <a:effectLst/>
          </c:spPr>
          <c:invertIfNegative val="0"/>
          <c:cat>
            <c:strRef>
              <c:f>'contributi LCOH 0,08 '!$AG$73:$AG$75</c:f>
              <c:strCache>
                <c:ptCount val="3"/>
                <c:pt idx="0">
                  <c:v>LCOH1</c:v>
                </c:pt>
                <c:pt idx="1">
                  <c:v>LCOH2</c:v>
                </c:pt>
                <c:pt idx="2">
                  <c:v>LCOH3</c:v>
                </c:pt>
              </c:strCache>
            </c:strRef>
          </c:cat>
          <c:val>
            <c:numRef>
              <c:f>'contributi LCOH 0,08 '!$AL$73:$AL$75</c:f>
              <c:numCache>
                <c:formatCode>0.00</c:formatCode>
                <c:ptCount val="3"/>
                <c:pt idx="0" formatCode="0.000">
                  <c:v>1.6211473716630753</c:v>
                </c:pt>
                <c:pt idx="1">
                  <c:v>2.4266666666666676</c:v>
                </c:pt>
                <c:pt idx="2">
                  <c:v>1.6211473716630753</c:v>
                </c:pt>
              </c:numCache>
            </c:numRef>
          </c:val>
          <c:extLst>
            <c:ext xmlns:c16="http://schemas.microsoft.com/office/drawing/2014/chart" uri="{C3380CC4-5D6E-409C-BE32-E72D297353CC}">
              <c16:uniqueId val="{00000004-4FC3-43DF-9F74-FDE2BFEABB39}"/>
            </c:ext>
          </c:extLst>
        </c:ser>
        <c:ser>
          <c:idx val="5"/>
          <c:order val="5"/>
          <c:tx>
            <c:strRef>
              <c:f>'contributi LCOH 0,08 '!$AM$72</c:f>
              <c:strCache>
                <c:ptCount val="1"/>
                <c:pt idx="0">
                  <c:v>ELECTRICITY</c:v>
                </c:pt>
              </c:strCache>
            </c:strRef>
          </c:tx>
          <c:spPr>
            <a:solidFill>
              <a:schemeClr val="accent6"/>
            </a:solidFill>
            <a:ln>
              <a:noFill/>
            </a:ln>
            <a:effectLst/>
          </c:spPr>
          <c:invertIfNegative val="0"/>
          <c:cat>
            <c:strRef>
              <c:f>'contributi LCOH 0,08 '!$AG$73:$AG$75</c:f>
              <c:strCache>
                <c:ptCount val="3"/>
                <c:pt idx="0">
                  <c:v>LCOH1</c:v>
                </c:pt>
                <c:pt idx="1">
                  <c:v>LCOH2</c:v>
                </c:pt>
                <c:pt idx="2">
                  <c:v>LCOH3</c:v>
                </c:pt>
              </c:strCache>
            </c:strRef>
          </c:cat>
          <c:val>
            <c:numRef>
              <c:f>'contributi LCOH 0,08 '!$AM$73:$AM$75</c:f>
              <c:numCache>
                <c:formatCode>0.00</c:formatCode>
                <c:ptCount val="3"/>
                <c:pt idx="0" formatCode="0.000">
                  <c:v>1.4491451487149756</c:v>
                </c:pt>
                <c:pt idx="1">
                  <c:v>2.1691995983935746</c:v>
                </c:pt>
                <c:pt idx="2">
                  <c:v>1.4491451487149756</c:v>
                </c:pt>
              </c:numCache>
            </c:numRef>
          </c:val>
          <c:extLst>
            <c:ext xmlns:c16="http://schemas.microsoft.com/office/drawing/2014/chart" uri="{C3380CC4-5D6E-409C-BE32-E72D297353CC}">
              <c16:uniqueId val="{00000005-4FC3-43DF-9F74-FDE2BFEABB39}"/>
            </c:ext>
          </c:extLst>
        </c:ser>
        <c:ser>
          <c:idx val="6"/>
          <c:order val="6"/>
          <c:tx>
            <c:strRef>
              <c:f>'contributi LCOH 0,08 '!$AN$72</c:f>
              <c:strCache>
                <c:ptCount val="1"/>
                <c:pt idx="0">
                  <c:v>O&amp;M+CO2</c:v>
                </c:pt>
              </c:strCache>
            </c:strRef>
          </c:tx>
          <c:spPr>
            <a:solidFill>
              <a:schemeClr val="accent1">
                <a:lumMod val="60000"/>
              </a:schemeClr>
            </a:solidFill>
            <a:ln>
              <a:noFill/>
            </a:ln>
            <a:effectLst/>
          </c:spPr>
          <c:invertIfNegative val="0"/>
          <c:cat>
            <c:strRef>
              <c:f>'contributi LCOH 0,08 '!$AG$73:$AG$75</c:f>
              <c:strCache>
                <c:ptCount val="3"/>
                <c:pt idx="0">
                  <c:v>LCOH1</c:v>
                </c:pt>
                <c:pt idx="1">
                  <c:v>LCOH2</c:v>
                </c:pt>
                <c:pt idx="2">
                  <c:v>LCOH3</c:v>
                </c:pt>
              </c:strCache>
            </c:strRef>
          </c:cat>
          <c:val>
            <c:numRef>
              <c:f>'contributi LCOH 0,08 '!$AN$73:$AN$75</c:f>
              <c:numCache>
                <c:formatCode>0.00</c:formatCode>
                <c:ptCount val="3"/>
                <c:pt idx="0" formatCode="0.000">
                  <c:v>0.43856343039294582</c:v>
                </c:pt>
                <c:pt idx="1">
                  <c:v>0.65647779859876465</c:v>
                </c:pt>
                <c:pt idx="2">
                  <c:v>0.43856343039294582</c:v>
                </c:pt>
              </c:numCache>
            </c:numRef>
          </c:val>
          <c:extLst>
            <c:ext xmlns:c16="http://schemas.microsoft.com/office/drawing/2014/chart" uri="{C3380CC4-5D6E-409C-BE32-E72D297353CC}">
              <c16:uniqueId val="{00000006-4FC3-43DF-9F74-FDE2BFEABB39}"/>
            </c:ext>
          </c:extLst>
        </c:ser>
        <c:dLbls>
          <c:showLegendKey val="0"/>
          <c:showVal val="0"/>
          <c:showCatName val="0"/>
          <c:showSerName val="0"/>
          <c:showPercent val="0"/>
          <c:showBubbleSize val="0"/>
        </c:dLbls>
        <c:gapWidth val="150"/>
        <c:overlap val="100"/>
        <c:axId val="1483647071"/>
        <c:axId val="1827113647"/>
      </c:barChart>
      <c:catAx>
        <c:axId val="148364707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crossAx val="1827113647"/>
        <c:crosses val="autoZero"/>
        <c:auto val="1"/>
        <c:lblAlgn val="ctr"/>
        <c:lblOffset val="100"/>
        <c:noMultiLvlLbl val="0"/>
      </c:catAx>
      <c:valAx>
        <c:axId val="1827113647"/>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it-IT" b="1"/>
                  <a:t>€/kg</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it-IT"/>
            </a:p>
          </c:txPr>
        </c:title>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crossAx val="1483647071"/>
        <c:crosses val="autoZero"/>
        <c:crossBetween val="between"/>
      </c:valAx>
      <c:spPr>
        <a:noFill/>
        <a:ln>
          <a:noFill/>
        </a:ln>
        <a:effectLst/>
      </c:spPr>
    </c:plotArea>
    <c:legend>
      <c:legendPos val="b"/>
      <c:layout>
        <c:manualLayout>
          <c:xMode val="edge"/>
          <c:yMode val="edge"/>
          <c:x val="6.4660958867170187E-2"/>
          <c:y val="0.79742708333333334"/>
          <c:w val="0.9188083061513691"/>
          <c:h val="0.18052430555555554"/>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en-US" sz="2000" b="1"/>
              <a:t>Cost distribution</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it-I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1.3509252097052711E-2"/>
          <c:y val="0.12251961251436776"/>
          <c:w val="0.97298149580589455"/>
          <c:h val="0.65287182525377685"/>
        </c:manualLayout>
      </c:layout>
      <c:pie3DChart>
        <c:varyColors val="1"/>
        <c:ser>
          <c:idx val="0"/>
          <c:order val="0"/>
          <c:dPt>
            <c:idx val="0"/>
            <c:bubble3D val="0"/>
            <c:spPr>
              <a:solidFill>
                <a:srgbClr val="00B050"/>
              </a:solidFill>
              <a:ln w="25400">
                <a:solidFill>
                  <a:schemeClr val="lt1"/>
                </a:solidFill>
              </a:ln>
              <a:effectLst/>
              <a:sp3d contourW="25400">
                <a:contourClr>
                  <a:schemeClr val="lt1"/>
                </a:contourClr>
              </a:sp3d>
            </c:spPr>
            <c:extLst>
              <c:ext xmlns:c16="http://schemas.microsoft.com/office/drawing/2014/chart" uri="{C3380CC4-5D6E-409C-BE32-E72D297353CC}">
                <c16:uniqueId val="{00000001-3631-48DA-8EAA-3993FE108F38}"/>
              </c:ext>
            </c:extLst>
          </c:dPt>
          <c:dPt>
            <c:idx val="1"/>
            <c:bubble3D val="0"/>
            <c:spPr>
              <a:solidFill>
                <a:srgbClr val="00B0F0"/>
              </a:solidFill>
              <a:ln w="25400">
                <a:solidFill>
                  <a:schemeClr val="lt1"/>
                </a:solidFill>
              </a:ln>
              <a:effectLst/>
              <a:sp3d contourW="25400">
                <a:contourClr>
                  <a:schemeClr val="lt1"/>
                </a:contourClr>
              </a:sp3d>
            </c:spPr>
            <c:extLst>
              <c:ext xmlns:c16="http://schemas.microsoft.com/office/drawing/2014/chart" uri="{C3380CC4-5D6E-409C-BE32-E72D297353CC}">
                <c16:uniqueId val="{00000005-3631-48DA-8EAA-3993FE108F38}"/>
              </c:ext>
            </c:extLst>
          </c:dPt>
          <c:dPt>
            <c:idx val="2"/>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7-3631-48DA-8EAA-3993FE108F38}"/>
              </c:ext>
            </c:extLst>
          </c:dPt>
          <c:dPt>
            <c:idx val="3"/>
            <c:bubble3D val="0"/>
            <c:spPr>
              <a:solidFill>
                <a:srgbClr val="FFFF00"/>
              </a:solidFill>
              <a:ln w="25400">
                <a:solidFill>
                  <a:schemeClr val="lt1"/>
                </a:solidFill>
              </a:ln>
              <a:effectLst/>
              <a:sp3d contourW="25400">
                <a:contourClr>
                  <a:schemeClr val="lt1"/>
                </a:contourClr>
              </a:sp3d>
            </c:spPr>
            <c:extLst>
              <c:ext xmlns:c16="http://schemas.microsoft.com/office/drawing/2014/chart" uri="{C3380CC4-5D6E-409C-BE32-E72D297353CC}">
                <c16:uniqueId val="{00000009-3631-48DA-8EAA-3993FE108F38}"/>
              </c:ext>
            </c:extLst>
          </c:dPt>
          <c:dPt>
            <c:idx val="4"/>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B-3631-48DA-8EAA-3993FE108F38}"/>
              </c:ext>
            </c:extLst>
          </c:dPt>
          <c:dPt>
            <c:idx val="5"/>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D-3631-48DA-8EAA-3993FE108F38}"/>
              </c:ext>
            </c:extLst>
          </c:dPt>
          <c:dLbls>
            <c:dLbl>
              <c:idx val="1"/>
              <c:layout>
                <c:manualLayout>
                  <c:x val="-0.1539293165767486"/>
                  <c:y val="-0.11135019987420446"/>
                </c:manualLayout>
              </c:layout>
              <c:tx>
                <c:rich>
                  <a:bodyPr rot="0" spcFirstLastPara="1" vertOverflow="ellipsis" vert="horz" wrap="square" lIns="38100" tIns="19050" rIns="38100" bIns="19050" anchor="ctr" anchorCtr="1">
                    <a:noAutofit/>
                  </a:bodyPr>
                  <a:lstStyle/>
                  <a:p>
                    <a:pPr>
                      <a:defRPr sz="1400" b="1" i="0" u="none" strike="noStrike" kern="1200" baseline="0">
                        <a:solidFill>
                          <a:schemeClr val="tx1">
                            <a:lumMod val="75000"/>
                            <a:lumOff val="25000"/>
                          </a:schemeClr>
                        </a:solidFill>
                        <a:latin typeface="+mn-lt"/>
                        <a:ea typeface="+mn-ea"/>
                        <a:cs typeface="+mn-cs"/>
                      </a:defRPr>
                    </a:pPr>
                    <a:fld id="{6B6E2BF8-46FC-4C31-AA9A-FB3B3469E9FA}" type="CATEGORYNAME">
                      <a:rPr lang="en-US" sz="1400"/>
                      <a:pPr>
                        <a:defRPr sz="1400" b="1"/>
                      </a:pPr>
                      <a:t>[NOME CATEGORIA]</a:t>
                    </a:fld>
                    <a:endParaRPr lang="en-US" sz="1400"/>
                  </a:p>
                  <a:p>
                    <a:pPr>
                      <a:defRPr sz="1400" b="1"/>
                    </a:pPr>
                    <a:r>
                      <a:rPr lang="en-US" sz="1400"/>
                      <a:t> </a:t>
                    </a:r>
                    <a:fld id="{49DDB8A6-8F94-4DEB-8C12-0C0BE70388E5}" type="PERCENTAGE">
                      <a:rPr lang="en-US" sz="1400" baseline="0"/>
                      <a:pPr>
                        <a:defRPr sz="1400" b="1"/>
                      </a:pPr>
                      <a:t>[PERCENTUALE]</a:t>
                    </a:fld>
                    <a:endParaRPr lang="en-US" sz="1400"/>
                  </a:p>
                </c:rich>
              </c:tx>
              <c:spPr>
                <a:noFill/>
                <a:ln>
                  <a:noFill/>
                </a:ln>
                <a:effectLst/>
              </c:spPr>
              <c:txPr>
                <a:bodyPr rot="0" spcFirstLastPara="1" vertOverflow="ellipsis" vert="horz" wrap="square" lIns="38100" tIns="19050" rIns="38100" bIns="19050" anchor="ctr" anchorCtr="1">
                  <a:noAutofit/>
                </a:bodyPr>
                <a:lstStyle/>
                <a:p>
                  <a:pPr>
                    <a:defRPr sz="1400" b="1" i="0" u="none" strike="noStrike" kern="1200" baseline="0">
                      <a:solidFill>
                        <a:schemeClr val="tx1">
                          <a:lumMod val="75000"/>
                          <a:lumOff val="25000"/>
                        </a:schemeClr>
                      </a:solidFill>
                      <a:latin typeface="+mn-lt"/>
                      <a:ea typeface="+mn-ea"/>
                      <a:cs typeface="+mn-cs"/>
                    </a:defRPr>
                  </a:pPr>
                  <a:endParaRPr lang="it-IT"/>
                </a:p>
              </c:txPr>
              <c:dLblPos val="bestFit"/>
              <c:showLegendKey val="0"/>
              <c:showVal val="0"/>
              <c:showCatName val="1"/>
              <c:showSerName val="0"/>
              <c:showPercent val="1"/>
              <c:showBubbleSize val="0"/>
              <c:extLst>
                <c:ext xmlns:c15="http://schemas.microsoft.com/office/drawing/2012/chart" uri="{CE6537A1-D6FC-4f65-9D91-7224C49458BB}">
                  <c15:layout>
                    <c:manualLayout>
                      <c:w val="0.2361281311354442"/>
                      <c:h val="0.1659844263707009"/>
                    </c:manualLayout>
                  </c15:layout>
                  <c15:dlblFieldTable/>
                  <c15:showDataLabelsRange val="0"/>
                </c:ext>
                <c:ext xmlns:c16="http://schemas.microsoft.com/office/drawing/2014/chart" uri="{C3380CC4-5D6E-409C-BE32-E72D297353CC}">
                  <c16:uniqueId val="{00000005-3631-48DA-8EAA-3993FE108F38}"/>
                </c:ext>
              </c:extLst>
            </c:dLbl>
            <c:dLbl>
              <c:idx val="2"/>
              <c:layout>
                <c:manualLayout>
                  <c:x val="-9.5572008548817422E-2"/>
                  <c:y val="-0.25343634553069894"/>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3631-48DA-8EAA-3993FE108F38}"/>
                </c:ext>
              </c:extLst>
            </c:dLbl>
            <c:dLbl>
              <c:idx val="3"/>
              <c:layout>
                <c:manualLayout>
                  <c:x val="2.2634712511607039E-2"/>
                  <c:y val="-0.22382435190590291"/>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3631-48DA-8EAA-3993FE108F38}"/>
                </c:ext>
              </c:extLst>
            </c:dLbl>
            <c:dLbl>
              <c:idx val="4"/>
              <c:layout>
                <c:manualLayout>
                  <c:x val="9.6290601292937525E-2"/>
                  <c:y val="-0.30064582594636607"/>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3631-48DA-8EAA-3993FE108F38}"/>
                </c:ext>
              </c:extLst>
            </c:dLbl>
            <c:dLbl>
              <c:idx val="5"/>
              <c:layout>
                <c:manualLayout>
                  <c:x val="0.12379127881593217"/>
                  <c:y val="3.4478458614004184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3631-48DA-8EAA-3993FE108F38}"/>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tx1">
                        <a:lumMod val="75000"/>
                        <a:lumOff val="25000"/>
                      </a:schemeClr>
                    </a:solidFill>
                    <a:latin typeface="+mn-lt"/>
                    <a:ea typeface="+mn-ea"/>
                    <a:cs typeface="+mn-cs"/>
                  </a:defRPr>
                </a:pPr>
                <a:endParaRPr lang="it-IT"/>
              </a:p>
            </c:txPr>
            <c:dLblPos val="in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'contributi LCOH 0,12'!$I$25:$O$25</c15:sqref>
                  </c15:fullRef>
                </c:ext>
              </c:extLst>
              <c:f>('contributi LCOH 0,12'!$I$25,'contributi LCOH 0,12'!$K$25:$O$25)</c:f>
              <c:strCache>
                <c:ptCount val="6"/>
                <c:pt idx="0">
                  <c:v>ELECTRICITY </c:v>
                </c:pt>
                <c:pt idx="1">
                  <c:v>MAINTENAINCE AND CO2 CAPTURE AND STORAGE </c:v>
                </c:pt>
                <c:pt idx="2">
                  <c:v>METHANOL </c:v>
                </c:pt>
                <c:pt idx="3">
                  <c:v>DECOMISSIONING </c:v>
                </c:pt>
                <c:pt idx="4">
                  <c:v>STACK SUBSTITUTION </c:v>
                </c:pt>
                <c:pt idx="5">
                  <c:v>FIXED COST </c:v>
                </c:pt>
              </c:strCache>
            </c:strRef>
          </c:cat>
          <c:val>
            <c:numRef>
              <c:extLst>
                <c:ext xmlns:c15="http://schemas.microsoft.com/office/drawing/2012/chart" uri="{02D57815-91ED-43cb-92C2-25804820EDAC}">
                  <c15:fullRef>
                    <c15:sqref>'contributi LCOH 0,12'!$I$26:$O$26</c15:sqref>
                  </c15:fullRef>
                </c:ext>
              </c:extLst>
              <c:f>('contributi LCOH 0,12'!$I$26,'contributi LCOH 0,12'!$K$26:$O$26)</c:f>
              <c:numCache>
                <c:formatCode>00,000</c:formatCode>
                <c:ptCount val="6"/>
                <c:pt idx="0" formatCode="0,000">
                  <c:v>23.13779136826631</c:v>
                </c:pt>
                <c:pt idx="1">
                  <c:v>4.6682184381513157</c:v>
                </c:pt>
                <c:pt idx="2" formatCode="0,000">
                  <c:v>17.256044455365139</c:v>
                </c:pt>
                <c:pt idx="3" formatCode="0,000">
                  <c:v>3.3202633386189007</c:v>
                </c:pt>
                <c:pt idx="4" formatCode="General">
                  <c:v>6.6405266772378013</c:v>
                </c:pt>
                <c:pt idx="5" formatCode="0,000">
                  <c:v>36.657586509675355</c:v>
                </c:pt>
              </c:numCache>
            </c:numRef>
          </c:val>
          <c:extLst>
            <c:ext xmlns:c15="http://schemas.microsoft.com/office/drawing/2012/chart" uri="{02D57815-91ED-43cb-92C2-25804820EDAC}">
              <c15:categoryFilterExceptions>
                <c15:categoryFilterException>
                  <c15:sqref>'contributi LCOH 0,12'!$J$26</c15:sqref>
                  <c15:spPr xmlns:c15="http://schemas.microsoft.com/office/drawing/2012/chart">
                    <a:solidFill>
                      <a:schemeClr val="accent2"/>
                    </a:solidFill>
                    <a:ln w="25400">
                      <a:solidFill>
                        <a:schemeClr val="lt1"/>
                      </a:solidFill>
                    </a:ln>
                    <a:effectLst/>
                    <a:sp3d contourW="25400">
                      <a:contourClr>
                        <a:schemeClr val="lt1"/>
                      </a:contourClr>
                    </a:sp3d>
                  </c15:spPr>
                  <c15:bubble3D val="0"/>
                  <c15:dLbl>
                    <c:idx val="0"/>
                    <c:layout>
                      <c:manualLayout>
                        <c:x val="-0.10745921534273109"/>
                        <c:y val="-0.11453589433724029"/>
                      </c:manualLayout>
                    </c:layout>
                    <c:dLblPos val="bestFit"/>
                    <c:showLegendKey val="0"/>
                    <c:showVal val="0"/>
                    <c:showCatName val="1"/>
                    <c:showSerName val="0"/>
                    <c:showPercent val="1"/>
                    <c:showBubbleSize val="0"/>
                    <c:extLst>
                      <c:ext uri="{CE6537A1-D6FC-4f65-9D91-7224C49458BB}"/>
                      <c:ext xmlns:c16="http://schemas.microsoft.com/office/drawing/2014/chart" uri="{C3380CC4-5D6E-409C-BE32-E72D297353CC}">
                        <c16:uniqueId val="{0000000D-981B-4AE4-B478-361CD9593B46}"/>
                      </c:ext>
                    </c:extLst>
                  </c15:dLbl>
                </c15:categoryFilterException>
              </c15:categoryFilterExceptions>
            </c:ext>
            <c:ext xmlns:c16="http://schemas.microsoft.com/office/drawing/2014/chart" uri="{C3380CC4-5D6E-409C-BE32-E72D297353CC}">
              <c16:uniqueId val="{0000000C-3631-48DA-8EAA-3993FE108F38}"/>
            </c:ext>
          </c:extLst>
        </c:ser>
        <c:dLbls>
          <c:dLblPos val="inEnd"/>
          <c:showLegendKey val="0"/>
          <c:showVal val="0"/>
          <c:showCatName val="1"/>
          <c:showSerName val="0"/>
          <c:showPercent val="0"/>
          <c:showBubbleSize val="0"/>
          <c:showLeaderLines val="1"/>
        </c:dLbls>
      </c:pie3DChart>
      <c:spPr>
        <a:noFill/>
        <a:ln>
          <a:noFill/>
        </a:ln>
        <a:effectLst/>
      </c:spPr>
    </c:plotArea>
    <c:legend>
      <c:legendPos val="r"/>
      <c:layout>
        <c:manualLayout>
          <c:xMode val="edge"/>
          <c:yMode val="edge"/>
          <c:x val="5.9320798900615737E-3"/>
          <c:y val="0.78770328115437638"/>
          <c:w val="0.99038357862892401"/>
          <c:h val="0.21076599637903207"/>
        </c:manualLayout>
      </c:layout>
      <c:overlay val="0"/>
      <c:spPr>
        <a:noFill/>
        <a:ln>
          <a:solidFill>
            <a:schemeClr val="tx1">
              <a:alpha val="92000"/>
            </a:schemeClr>
          </a:solid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bg1"/>
      </a:solidFill>
      <a:round/>
    </a:ln>
    <a:effectLst/>
  </c:spPr>
  <c:txPr>
    <a:bodyPr/>
    <a:lstStyle/>
    <a:p>
      <a:pPr>
        <a:defRPr/>
      </a:pPr>
      <a:endParaRPr lang="it-IT"/>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LCOH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manualLayout>
          <c:layoutTarget val="inner"/>
          <c:xMode val="edge"/>
          <c:yMode val="edge"/>
          <c:x val="5.3703363014202664E-2"/>
          <c:y val="0.12855457298606907"/>
          <c:w val="0.91592280521009639"/>
          <c:h val="0.63351689884918228"/>
        </c:manualLayout>
      </c:layout>
      <c:barChart>
        <c:barDir val="col"/>
        <c:grouping val="stacked"/>
        <c:varyColors val="0"/>
        <c:ser>
          <c:idx val="0"/>
          <c:order val="0"/>
          <c:tx>
            <c:strRef>
              <c:f>'contributi LCOH 0,12'!$W$61</c:f>
              <c:strCache>
                <c:ptCount val="1"/>
                <c:pt idx="0">
                  <c:v>ELECTROLYSER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0,12'!$W$62</c:f>
              <c:numCache>
                <c:formatCode>0.000</c:formatCode>
                <c:ptCount val="1"/>
                <c:pt idx="0">
                  <c:v>4.6691884627573357</c:v>
                </c:pt>
              </c:numCache>
            </c:numRef>
          </c:val>
          <c:extLst>
            <c:ext xmlns:c16="http://schemas.microsoft.com/office/drawing/2014/chart" uri="{C3380CC4-5D6E-409C-BE32-E72D297353CC}">
              <c16:uniqueId val="{00000000-4180-40FA-B131-76F0BC5FCAF7}"/>
            </c:ext>
          </c:extLst>
        </c:ser>
        <c:ser>
          <c:idx val="1"/>
          <c:order val="1"/>
          <c:tx>
            <c:strRef>
              <c:f>'contributi LCOH 0,12'!$X$61</c:f>
              <c:strCache>
                <c:ptCount val="1"/>
                <c:pt idx="0">
                  <c:v>METHANOL TANK</c:v>
                </c:pt>
              </c:strCache>
            </c:strRef>
          </c:tx>
          <c:spPr>
            <a:solidFill>
              <a:schemeClr val="accent2"/>
            </a:solidFill>
            <a:ln>
              <a:noFill/>
            </a:ln>
            <a:effectLst/>
          </c:spPr>
          <c:invertIfNegative val="0"/>
          <c:dLbls>
            <c:dLbl>
              <c:idx val="0"/>
              <c:layout>
                <c:manualLayout>
                  <c:x val="0.24081343061844934"/>
                  <c:y val="-6.1365671270380527E-3"/>
                </c:manualLayout>
              </c:layout>
              <c:tx>
                <c:rich>
                  <a:bodyPr/>
                  <a:lstStyle/>
                  <a:p>
                    <a:fld id="{01ED4DFF-9418-42F7-BD01-930055F1B292}" type="VALUE">
                      <a:rPr lang="en-US">
                        <a:solidFill>
                          <a:schemeClr val="accent2"/>
                        </a:solidFill>
                      </a:rPr>
                      <a:pPr/>
                      <a:t>[VALORE]</a:t>
                    </a:fld>
                    <a:endParaRPr lang="it-IT"/>
                  </a:p>
                </c:rich>
              </c:tx>
              <c:dLblPos val="ct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0-6AE2-4E55-AD30-718CC710252C}"/>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accent2"/>
                      </a:solidFill>
                      <a:round/>
                    </a:ln>
                    <a:effectLst/>
                  </c:spPr>
                </c15:leaderLines>
              </c:ext>
            </c:extLst>
          </c:dLbls>
          <c:cat>
            <c:strLit>
              <c:ptCount val="1"/>
              <c:pt idx="0">
                <c:v>LCOH1</c:v>
              </c:pt>
            </c:strLit>
          </c:cat>
          <c:val>
            <c:numRef>
              <c:f>'contributi LCOH 0,12'!$X$62</c:f>
              <c:numCache>
                <c:formatCode>0.000</c:formatCode>
                <c:ptCount val="1"/>
                <c:pt idx="0">
                  <c:v>3.118826766617442E-2</c:v>
                </c:pt>
              </c:numCache>
            </c:numRef>
          </c:val>
          <c:extLst>
            <c:ext xmlns:c16="http://schemas.microsoft.com/office/drawing/2014/chart" uri="{C3380CC4-5D6E-409C-BE32-E72D297353CC}">
              <c16:uniqueId val="{00000001-4180-40FA-B131-76F0BC5FCAF7}"/>
            </c:ext>
          </c:extLst>
        </c:ser>
        <c:ser>
          <c:idx val="2"/>
          <c:order val="2"/>
          <c:tx>
            <c:strRef>
              <c:f>'contributi LCOH 0,12'!$Y$61</c:f>
              <c:strCache>
                <c:ptCount val="1"/>
                <c:pt idx="0">
                  <c:v>H2 STORAGE</c:v>
                </c:pt>
              </c:strCache>
            </c:strRef>
          </c:tx>
          <c:spPr>
            <a:solidFill>
              <a:schemeClr val="accent3"/>
            </a:solidFill>
            <a:ln>
              <a:noFill/>
            </a:ln>
            <a:effectLst/>
          </c:spPr>
          <c:invertIfNegative val="0"/>
          <c:dLbls>
            <c:dLbl>
              <c:idx val="0"/>
              <c:layout>
                <c:manualLayout>
                  <c:x val="-0.24782741403452058"/>
                  <c:y val="-2.454626850815227E-2"/>
                </c:manualLayout>
              </c:layout>
              <c:tx>
                <c:rich>
                  <a:bodyPr/>
                  <a:lstStyle/>
                  <a:p>
                    <a:fld id="{FD0C0C2D-3D6C-4226-9DE8-841367763E46}" type="VALUE">
                      <a:rPr lang="en-US">
                        <a:solidFill>
                          <a:schemeClr val="bg1">
                            <a:lumMod val="65000"/>
                          </a:schemeClr>
                        </a:solidFill>
                      </a:rPr>
                      <a:pPr/>
                      <a:t>[VALORE]</a:t>
                    </a:fld>
                    <a:endParaRPr lang="it-IT"/>
                  </a:p>
                </c:rich>
              </c:tx>
              <c:dLblPos val="ct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6AE2-4E55-AD30-718CC710252C}"/>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0,12'!$Y$62</c:f>
              <c:numCache>
                <c:formatCode>0.000</c:formatCode>
                <c:ptCount val="1"/>
                <c:pt idx="0">
                  <c:v>0.45467160603468931</c:v>
                </c:pt>
              </c:numCache>
            </c:numRef>
          </c:val>
          <c:extLst>
            <c:ext xmlns:c16="http://schemas.microsoft.com/office/drawing/2014/chart" uri="{C3380CC4-5D6E-409C-BE32-E72D297353CC}">
              <c16:uniqueId val="{00000002-4180-40FA-B131-76F0BC5FCAF7}"/>
            </c:ext>
          </c:extLst>
        </c:ser>
        <c:ser>
          <c:idx val="3"/>
          <c:order val="3"/>
          <c:tx>
            <c:strRef>
              <c:f>'contributi LCOH 0,12'!$Z$61</c:f>
              <c:strCache>
                <c:ptCount val="1"/>
                <c:pt idx="0">
                  <c:v>DECOM.+REPLACE.</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0,12'!$Z$62</c:f>
              <c:numCache>
                <c:formatCode>0.000</c:formatCode>
                <c:ptCount val="1"/>
                <c:pt idx="0">
                  <c:v>1.4007565388272007</c:v>
                </c:pt>
              </c:numCache>
            </c:numRef>
          </c:val>
          <c:extLst>
            <c:ext xmlns:c16="http://schemas.microsoft.com/office/drawing/2014/chart" uri="{C3380CC4-5D6E-409C-BE32-E72D297353CC}">
              <c16:uniqueId val="{00000003-4180-40FA-B131-76F0BC5FCAF7}"/>
            </c:ext>
          </c:extLst>
        </c:ser>
        <c:ser>
          <c:idx val="4"/>
          <c:order val="4"/>
          <c:tx>
            <c:strRef>
              <c:f>'contributi LCOH 0,12'!$AA$61</c:f>
              <c:strCache>
                <c:ptCount val="1"/>
                <c:pt idx="0">
                  <c:v>METHANOL</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0,12'!$AA$62</c:f>
              <c:numCache>
                <c:formatCode>0.000</c:formatCode>
                <c:ptCount val="1"/>
                <c:pt idx="0">
                  <c:v>1.6211473716630753</c:v>
                </c:pt>
              </c:numCache>
            </c:numRef>
          </c:val>
          <c:extLst>
            <c:ext xmlns:c16="http://schemas.microsoft.com/office/drawing/2014/chart" uri="{C3380CC4-5D6E-409C-BE32-E72D297353CC}">
              <c16:uniqueId val="{00000004-4180-40FA-B131-76F0BC5FCAF7}"/>
            </c:ext>
          </c:extLst>
        </c:ser>
        <c:ser>
          <c:idx val="5"/>
          <c:order val="5"/>
          <c:tx>
            <c:strRef>
              <c:f>'contributi LCOH 0,12'!$AB$61</c:f>
              <c:strCache>
                <c:ptCount val="1"/>
                <c:pt idx="0">
                  <c:v>ELECTRICITY</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0,12'!$AB$62</c:f>
              <c:numCache>
                <c:formatCode>0.000</c:formatCode>
                <c:ptCount val="1"/>
                <c:pt idx="0">
                  <c:v>2.1737177230724631</c:v>
                </c:pt>
              </c:numCache>
            </c:numRef>
          </c:val>
          <c:extLst>
            <c:ext xmlns:c16="http://schemas.microsoft.com/office/drawing/2014/chart" uri="{C3380CC4-5D6E-409C-BE32-E72D297353CC}">
              <c16:uniqueId val="{00000005-4180-40FA-B131-76F0BC5FCAF7}"/>
            </c:ext>
          </c:extLst>
        </c:ser>
        <c:ser>
          <c:idx val="6"/>
          <c:order val="6"/>
          <c:tx>
            <c:strRef>
              <c:f>'contributi LCOH 0,12'!$AC$61</c:f>
              <c:strCache>
                <c:ptCount val="1"/>
                <c:pt idx="0">
                  <c:v>O&amp;M+CO2</c:v>
                </c:pt>
              </c:strCache>
            </c:strRef>
          </c:tx>
          <c:spPr>
            <a:solidFill>
              <a:schemeClr val="accent1">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bg1"/>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LCOH1</c:v>
              </c:pt>
            </c:strLit>
          </c:cat>
          <c:val>
            <c:numRef>
              <c:f>'contributi LCOH 0,12'!$AC$62</c:f>
              <c:numCache>
                <c:formatCode>0.000</c:formatCode>
                <c:ptCount val="1"/>
                <c:pt idx="0">
                  <c:v>0.43856343039294582</c:v>
                </c:pt>
              </c:numCache>
            </c:numRef>
          </c:val>
          <c:extLst>
            <c:ext xmlns:c16="http://schemas.microsoft.com/office/drawing/2014/chart" uri="{C3380CC4-5D6E-409C-BE32-E72D297353CC}">
              <c16:uniqueId val="{00000006-4180-40FA-B131-76F0BC5FCAF7}"/>
            </c:ext>
          </c:extLst>
        </c:ser>
        <c:dLbls>
          <c:dLblPos val="ctr"/>
          <c:showLegendKey val="0"/>
          <c:showVal val="1"/>
          <c:showCatName val="0"/>
          <c:showSerName val="0"/>
          <c:showPercent val="0"/>
          <c:showBubbleSize val="0"/>
        </c:dLbls>
        <c:gapWidth val="150"/>
        <c:overlap val="100"/>
        <c:axId val="883218127"/>
        <c:axId val="10863311"/>
      </c:barChart>
      <c:catAx>
        <c:axId val="883218127"/>
        <c:scaling>
          <c:orientation val="minMax"/>
        </c:scaling>
        <c:delete val="0"/>
        <c:axPos val="b"/>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0863311"/>
        <c:crosses val="autoZero"/>
        <c:auto val="1"/>
        <c:lblAlgn val="ctr"/>
        <c:lblOffset val="100"/>
        <c:noMultiLvlLbl val="0"/>
      </c:catAx>
      <c:valAx>
        <c:axId val="10863311"/>
        <c:scaling>
          <c:orientation val="minMax"/>
        </c:scaling>
        <c:delete val="0"/>
        <c:axPos val="l"/>
        <c:majorGridlines>
          <c:spPr>
            <a:ln w="9525" cap="flat" cmpd="sng" algn="ctr">
              <a:solidFill>
                <a:schemeClr val="tx1">
                  <a:lumMod val="15000"/>
                  <a:lumOff val="85000"/>
                </a:schemeClr>
              </a:solidFill>
              <a:round/>
            </a:ln>
            <a:effectLst/>
          </c:spPr>
        </c:majorGridlines>
        <c:title>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8321812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14.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6" Type="http://schemas.openxmlformats.org/officeDocument/2006/relationships/chart" Target="../charts/chart13.xml"/><Relationship Id="rId5" Type="http://schemas.openxmlformats.org/officeDocument/2006/relationships/chart" Target="../charts/chart12.xml"/><Relationship Id="rId4"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6.xml"/><Relationship Id="rId2" Type="http://schemas.openxmlformats.org/officeDocument/2006/relationships/chart" Target="../charts/chart15.xml"/><Relationship Id="rId1" Type="http://schemas.openxmlformats.org/officeDocument/2006/relationships/chart" Target="../charts/chart14.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s>
</file>

<file path=xl/drawings/_rels/drawing9.xml.rels><?xml version="1.0" encoding="UTF-8" standalone="yes"?>
<Relationships xmlns="http://schemas.openxmlformats.org/package/2006/relationships"><Relationship Id="rId2" Type="http://schemas.openxmlformats.org/officeDocument/2006/relationships/chart" Target="../charts/chart24.xml"/><Relationship Id="rId1" Type="http://schemas.openxmlformats.org/officeDocument/2006/relationships/chart" Target="../charts/chart23.xml"/></Relationships>
</file>

<file path=xl/drawings/drawing1.xml><?xml version="1.0" encoding="utf-8"?>
<xdr:wsDr xmlns:xdr="http://schemas.openxmlformats.org/drawingml/2006/spreadsheetDrawing" xmlns:a="http://schemas.openxmlformats.org/drawingml/2006/main">
  <xdr:oneCellAnchor>
    <xdr:from>
      <xdr:col>12</xdr:col>
      <xdr:colOff>48069</xdr:colOff>
      <xdr:row>36</xdr:row>
      <xdr:rowOff>314769</xdr:rowOff>
    </xdr:from>
    <xdr:ext cx="65" cy="172227"/>
    <xdr:sp macro="" textlink="">
      <xdr:nvSpPr>
        <xdr:cNvPr id="3" name="CasellaDiTesto 2">
          <a:extLst>
            <a:ext uri="{FF2B5EF4-FFF2-40B4-BE49-F238E27FC236}">
              <a16:creationId xmlns:a16="http://schemas.microsoft.com/office/drawing/2014/main" id="{229A7C46-0FD0-6956-AABF-7CB11C5D1FED}"/>
            </a:ext>
          </a:extLst>
        </xdr:cNvPr>
        <xdr:cNvSpPr txBox="1"/>
      </xdr:nvSpPr>
      <xdr:spPr>
        <a:xfrm>
          <a:off x="13414819" y="16577119"/>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it-IT"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9</xdr:col>
      <xdr:colOff>205740</xdr:colOff>
      <xdr:row>47</xdr:row>
      <xdr:rowOff>157480</xdr:rowOff>
    </xdr:from>
    <xdr:to>
      <xdr:col>17</xdr:col>
      <xdr:colOff>147320</xdr:colOff>
      <xdr:row>70</xdr:row>
      <xdr:rowOff>60960</xdr:rowOff>
    </xdr:to>
    <xdr:graphicFrame macro="">
      <xdr:nvGraphicFramePr>
        <xdr:cNvPr id="3" name="Grafico 2">
          <a:extLst>
            <a:ext uri="{FF2B5EF4-FFF2-40B4-BE49-F238E27FC236}">
              <a16:creationId xmlns:a16="http://schemas.microsoft.com/office/drawing/2014/main" id="{DBBBA9BD-D461-4B14-ABE6-3A0BFD6B40F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8</xdr:col>
      <xdr:colOff>5835</xdr:colOff>
      <xdr:row>27</xdr:row>
      <xdr:rowOff>172651</xdr:rowOff>
    </xdr:from>
    <xdr:to>
      <xdr:col>14</xdr:col>
      <xdr:colOff>21796</xdr:colOff>
      <xdr:row>53</xdr:row>
      <xdr:rowOff>92332</xdr:rowOff>
    </xdr:to>
    <xdr:graphicFrame macro="">
      <xdr:nvGraphicFramePr>
        <xdr:cNvPr id="2" name="Grafico 1">
          <a:extLst>
            <a:ext uri="{FF2B5EF4-FFF2-40B4-BE49-F238E27FC236}">
              <a16:creationId xmlns:a16="http://schemas.microsoft.com/office/drawing/2014/main" id="{B65D188F-5DDA-4A4B-A814-C4646299D3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590550</xdr:colOff>
      <xdr:row>58</xdr:row>
      <xdr:rowOff>173892</xdr:rowOff>
    </xdr:from>
    <xdr:to>
      <xdr:col>8</xdr:col>
      <xdr:colOff>1065579</xdr:colOff>
      <xdr:row>83</xdr:row>
      <xdr:rowOff>123093</xdr:rowOff>
    </xdr:to>
    <xdr:graphicFrame macro="">
      <xdr:nvGraphicFramePr>
        <xdr:cNvPr id="4" name="Grafico 3">
          <a:extLst>
            <a:ext uri="{FF2B5EF4-FFF2-40B4-BE49-F238E27FC236}">
              <a16:creationId xmlns:a16="http://schemas.microsoft.com/office/drawing/2014/main" id="{8FEE0C4F-EB27-3AE7-928C-5A802DF235A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706315</xdr:colOff>
      <xdr:row>58</xdr:row>
      <xdr:rowOff>102821</xdr:rowOff>
    </xdr:from>
    <xdr:to>
      <xdr:col>8</xdr:col>
      <xdr:colOff>1181344</xdr:colOff>
      <xdr:row>83</xdr:row>
      <xdr:rowOff>52022</xdr:rowOff>
    </xdr:to>
    <xdr:graphicFrame macro="">
      <xdr:nvGraphicFramePr>
        <xdr:cNvPr id="5" name="Grafico 4">
          <a:extLst>
            <a:ext uri="{FF2B5EF4-FFF2-40B4-BE49-F238E27FC236}">
              <a16:creationId xmlns:a16="http://schemas.microsoft.com/office/drawing/2014/main" id="{0E583F0E-5490-36DA-2F89-6526B12E0D9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8</xdr:col>
      <xdr:colOff>1390135</xdr:colOff>
      <xdr:row>28</xdr:row>
      <xdr:rowOff>147251</xdr:rowOff>
    </xdr:from>
    <xdr:to>
      <xdr:col>14</xdr:col>
      <xdr:colOff>1416050</xdr:colOff>
      <xdr:row>52</xdr:row>
      <xdr:rowOff>82550</xdr:rowOff>
    </xdr:to>
    <xdr:graphicFrame macro="">
      <xdr:nvGraphicFramePr>
        <xdr:cNvPr id="2" name="Grafico 1">
          <a:extLst>
            <a:ext uri="{FF2B5EF4-FFF2-40B4-BE49-F238E27FC236}">
              <a16:creationId xmlns:a16="http://schemas.microsoft.com/office/drawing/2014/main" id="{1711CFF9-98F2-4C0C-9913-86F3793D82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25</xdr:col>
      <xdr:colOff>82550</xdr:colOff>
      <xdr:row>66</xdr:row>
      <xdr:rowOff>152400</xdr:rowOff>
    </xdr:from>
    <xdr:to>
      <xdr:col>28</xdr:col>
      <xdr:colOff>1822450</xdr:colOff>
      <xdr:row>89</xdr:row>
      <xdr:rowOff>44450</xdr:rowOff>
    </xdr:to>
    <xdr:graphicFrame macro="">
      <xdr:nvGraphicFramePr>
        <xdr:cNvPr id="3" name="Grafico 2">
          <a:extLst>
            <a:ext uri="{FF2B5EF4-FFF2-40B4-BE49-F238E27FC236}">
              <a16:creationId xmlns:a16="http://schemas.microsoft.com/office/drawing/2014/main" id="{AED02447-7BD4-4254-AC60-E023C2682BE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34</xdr:col>
      <xdr:colOff>751873</xdr:colOff>
      <xdr:row>76</xdr:row>
      <xdr:rowOff>134214</xdr:rowOff>
    </xdr:from>
    <xdr:to>
      <xdr:col>40</xdr:col>
      <xdr:colOff>815224</xdr:colOff>
      <xdr:row>95</xdr:row>
      <xdr:rowOff>124736</xdr:rowOff>
    </xdr:to>
    <xdr:graphicFrame macro="">
      <xdr:nvGraphicFramePr>
        <xdr:cNvPr id="4" name="Grafico 3">
          <a:extLst>
            <a:ext uri="{FF2B5EF4-FFF2-40B4-BE49-F238E27FC236}">
              <a16:creationId xmlns:a16="http://schemas.microsoft.com/office/drawing/2014/main" id="{CC3F33C5-A1E4-46F0-8C7F-DE12A00D48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1637784</xdr:colOff>
      <xdr:row>27</xdr:row>
      <xdr:rowOff>20251</xdr:rowOff>
    </xdr:from>
    <xdr:to>
      <xdr:col>17</xdr:col>
      <xdr:colOff>154739</xdr:colOff>
      <xdr:row>53</xdr:row>
      <xdr:rowOff>8355</xdr:rowOff>
    </xdr:to>
    <xdr:graphicFrame macro="">
      <xdr:nvGraphicFramePr>
        <xdr:cNvPr id="2" name="Grafico 1">
          <a:extLst>
            <a:ext uri="{FF2B5EF4-FFF2-40B4-BE49-F238E27FC236}">
              <a16:creationId xmlns:a16="http://schemas.microsoft.com/office/drawing/2014/main" id="{FD88B6A6-9848-46A0-84C2-7DF8CA0D15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25</xdr:col>
      <xdr:colOff>82550</xdr:colOff>
      <xdr:row>66</xdr:row>
      <xdr:rowOff>152400</xdr:rowOff>
    </xdr:from>
    <xdr:to>
      <xdr:col>28</xdr:col>
      <xdr:colOff>1822450</xdr:colOff>
      <xdr:row>89</xdr:row>
      <xdr:rowOff>44450</xdr:rowOff>
    </xdr:to>
    <xdr:graphicFrame macro="">
      <xdr:nvGraphicFramePr>
        <xdr:cNvPr id="4" name="Grafico 3">
          <a:extLst>
            <a:ext uri="{FF2B5EF4-FFF2-40B4-BE49-F238E27FC236}">
              <a16:creationId xmlns:a16="http://schemas.microsoft.com/office/drawing/2014/main" id="{4472274E-3A04-B332-C72B-2B9FB518A26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34</xdr:col>
      <xdr:colOff>751873</xdr:colOff>
      <xdr:row>76</xdr:row>
      <xdr:rowOff>134214</xdr:rowOff>
    </xdr:from>
    <xdr:to>
      <xdr:col>40</xdr:col>
      <xdr:colOff>815224</xdr:colOff>
      <xdr:row>95</xdr:row>
      <xdr:rowOff>124736</xdr:rowOff>
    </xdr:to>
    <xdr:graphicFrame macro="">
      <xdr:nvGraphicFramePr>
        <xdr:cNvPr id="3" name="Grafico 2">
          <a:extLst>
            <a:ext uri="{FF2B5EF4-FFF2-40B4-BE49-F238E27FC236}">
              <a16:creationId xmlns:a16="http://schemas.microsoft.com/office/drawing/2014/main" id="{2B728A29-93EA-D471-ED84-7F23E856E8E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44450</xdr:colOff>
      <xdr:row>55</xdr:row>
      <xdr:rowOff>31750</xdr:rowOff>
    </xdr:from>
    <xdr:to>
      <xdr:col>10</xdr:col>
      <xdr:colOff>216958</xdr:colOff>
      <xdr:row>72</xdr:row>
      <xdr:rowOff>38100</xdr:rowOff>
    </xdr:to>
    <xdr:graphicFrame macro="">
      <xdr:nvGraphicFramePr>
        <xdr:cNvPr id="5" name="Grafico 4">
          <a:extLst>
            <a:ext uri="{FF2B5EF4-FFF2-40B4-BE49-F238E27FC236}">
              <a16:creationId xmlns:a16="http://schemas.microsoft.com/office/drawing/2014/main" id="{466C889B-732C-C869-79E5-09146266215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38100</xdr:colOff>
      <xdr:row>73</xdr:row>
      <xdr:rowOff>76201</xdr:rowOff>
    </xdr:from>
    <xdr:to>
      <xdr:col>9</xdr:col>
      <xdr:colOff>1083732</xdr:colOff>
      <xdr:row>90</xdr:row>
      <xdr:rowOff>76200</xdr:rowOff>
    </xdr:to>
    <xdr:graphicFrame macro="">
      <xdr:nvGraphicFramePr>
        <xdr:cNvPr id="7" name="Grafico 6">
          <a:extLst>
            <a:ext uri="{FF2B5EF4-FFF2-40B4-BE49-F238E27FC236}">
              <a16:creationId xmlns:a16="http://schemas.microsoft.com/office/drawing/2014/main" id="{8791BD72-BF6D-994A-5EB0-7631A846721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25399</xdr:colOff>
      <xdr:row>62</xdr:row>
      <xdr:rowOff>21167</xdr:rowOff>
    </xdr:from>
    <xdr:to>
      <xdr:col>14</xdr:col>
      <xdr:colOff>1100665</xdr:colOff>
      <xdr:row>85</xdr:row>
      <xdr:rowOff>135467</xdr:rowOff>
    </xdr:to>
    <xdr:graphicFrame macro="">
      <xdr:nvGraphicFramePr>
        <xdr:cNvPr id="8" name="Grafico 7">
          <a:extLst>
            <a:ext uri="{FF2B5EF4-FFF2-40B4-BE49-F238E27FC236}">
              <a16:creationId xmlns:a16="http://schemas.microsoft.com/office/drawing/2014/main" id="{58917CAE-A4F9-2B4F-B61A-535A124E076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1390135</xdr:colOff>
      <xdr:row>28</xdr:row>
      <xdr:rowOff>147251</xdr:rowOff>
    </xdr:from>
    <xdr:to>
      <xdr:col>14</xdr:col>
      <xdr:colOff>1416050</xdr:colOff>
      <xdr:row>52</xdr:row>
      <xdr:rowOff>82550</xdr:rowOff>
    </xdr:to>
    <xdr:graphicFrame macro="">
      <xdr:nvGraphicFramePr>
        <xdr:cNvPr id="2" name="Grafico 1">
          <a:extLst>
            <a:ext uri="{FF2B5EF4-FFF2-40B4-BE49-F238E27FC236}">
              <a16:creationId xmlns:a16="http://schemas.microsoft.com/office/drawing/2014/main" id="{FE03AE8B-825C-4B47-B1B4-BF518767F9D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25</xdr:col>
      <xdr:colOff>82550</xdr:colOff>
      <xdr:row>66</xdr:row>
      <xdr:rowOff>152400</xdr:rowOff>
    </xdr:from>
    <xdr:to>
      <xdr:col>28</xdr:col>
      <xdr:colOff>1822450</xdr:colOff>
      <xdr:row>89</xdr:row>
      <xdr:rowOff>44450</xdr:rowOff>
    </xdr:to>
    <xdr:graphicFrame macro="">
      <xdr:nvGraphicFramePr>
        <xdr:cNvPr id="3" name="Grafico 2">
          <a:extLst>
            <a:ext uri="{FF2B5EF4-FFF2-40B4-BE49-F238E27FC236}">
              <a16:creationId xmlns:a16="http://schemas.microsoft.com/office/drawing/2014/main" id="{44118234-D898-47A2-8793-094127C457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34</xdr:col>
      <xdr:colOff>751873</xdr:colOff>
      <xdr:row>76</xdr:row>
      <xdr:rowOff>134214</xdr:rowOff>
    </xdr:from>
    <xdr:to>
      <xdr:col>40</xdr:col>
      <xdr:colOff>815224</xdr:colOff>
      <xdr:row>95</xdr:row>
      <xdr:rowOff>124736</xdr:rowOff>
    </xdr:to>
    <xdr:graphicFrame macro="">
      <xdr:nvGraphicFramePr>
        <xdr:cNvPr id="4" name="Grafico 3">
          <a:extLst>
            <a:ext uri="{FF2B5EF4-FFF2-40B4-BE49-F238E27FC236}">
              <a16:creationId xmlns:a16="http://schemas.microsoft.com/office/drawing/2014/main" id="{B45208A9-4E8B-4A3C-B1AF-A5D08CF44F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1390135</xdr:colOff>
      <xdr:row>28</xdr:row>
      <xdr:rowOff>147251</xdr:rowOff>
    </xdr:from>
    <xdr:to>
      <xdr:col>14</xdr:col>
      <xdr:colOff>1416050</xdr:colOff>
      <xdr:row>52</xdr:row>
      <xdr:rowOff>82550</xdr:rowOff>
    </xdr:to>
    <xdr:graphicFrame macro="">
      <xdr:nvGraphicFramePr>
        <xdr:cNvPr id="2" name="Grafico 1">
          <a:extLst>
            <a:ext uri="{FF2B5EF4-FFF2-40B4-BE49-F238E27FC236}">
              <a16:creationId xmlns:a16="http://schemas.microsoft.com/office/drawing/2014/main" id="{4338D1FA-E672-4B8B-96E2-103365DBCF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25</xdr:col>
      <xdr:colOff>82550</xdr:colOff>
      <xdr:row>66</xdr:row>
      <xdr:rowOff>152400</xdr:rowOff>
    </xdr:from>
    <xdr:to>
      <xdr:col>28</xdr:col>
      <xdr:colOff>1822450</xdr:colOff>
      <xdr:row>89</xdr:row>
      <xdr:rowOff>44450</xdr:rowOff>
    </xdr:to>
    <xdr:graphicFrame macro="">
      <xdr:nvGraphicFramePr>
        <xdr:cNvPr id="3" name="Grafico 2">
          <a:extLst>
            <a:ext uri="{FF2B5EF4-FFF2-40B4-BE49-F238E27FC236}">
              <a16:creationId xmlns:a16="http://schemas.microsoft.com/office/drawing/2014/main" id="{925215DB-10FB-40FF-87ED-948FB913AC6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31</xdr:col>
      <xdr:colOff>597852</xdr:colOff>
      <xdr:row>76</xdr:row>
      <xdr:rowOff>49097</xdr:rowOff>
    </xdr:from>
    <xdr:to>
      <xdr:col>37</xdr:col>
      <xdr:colOff>794959</xdr:colOff>
      <xdr:row>95</xdr:row>
      <xdr:rowOff>39619</xdr:rowOff>
    </xdr:to>
    <xdr:graphicFrame macro="">
      <xdr:nvGraphicFramePr>
        <xdr:cNvPr id="4" name="Grafico 3">
          <a:extLst>
            <a:ext uri="{FF2B5EF4-FFF2-40B4-BE49-F238E27FC236}">
              <a16:creationId xmlns:a16="http://schemas.microsoft.com/office/drawing/2014/main" id="{6EE7F1E0-1AC2-4EC3-9EC7-02E0320ECB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30</xdr:col>
      <xdr:colOff>11430</xdr:colOff>
      <xdr:row>1</xdr:row>
      <xdr:rowOff>89534</xdr:rowOff>
    </xdr:from>
    <xdr:to>
      <xdr:col>38</xdr:col>
      <xdr:colOff>87630</xdr:colOff>
      <xdr:row>13</xdr:row>
      <xdr:rowOff>118109</xdr:rowOff>
    </xdr:to>
    <xdr:graphicFrame macro="">
      <xdr:nvGraphicFramePr>
        <xdr:cNvPr id="3" name="Grafico 2">
          <a:extLst>
            <a:ext uri="{FF2B5EF4-FFF2-40B4-BE49-F238E27FC236}">
              <a16:creationId xmlns:a16="http://schemas.microsoft.com/office/drawing/2014/main" id="{461EC90D-39D2-F4BC-FC0C-6F85223F3B3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636270</xdr:colOff>
      <xdr:row>2</xdr:row>
      <xdr:rowOff>1905</xdr:rowOff>
    </xdr:from>
    <xdr:to>
      <xdr:col>16</xdr:col>
      <xdr:colOff>41910</xdr:colOff>
      <xdr:row>14</xdr:row>
      <xdr:rowOff>182880</xdr:rowOff>
    </xdr:to>
    <xdr:graphicFrame macro="">
      <xdr:nvGraphicFramePr>
        <xdr:cNvPr id="5" name="Grafico 4">
          <a:extLst>
            <a:ext uri="{FF2B5EF4-FFF2-40B4-BE49-F238E27FC236}">
              <a16:creationId xmlns:a16="http://schemas.microsoft.com/office/drawing/2014/main" id="{F7E86628-548A-D9AC-915C-5D87E90A819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512858</xdr:colOff>
      <xdr:row>16</xdr:row>
      <xdr:rowOff>99971</xdr:rowOff>
    </xdr:from>
    <xdr:to>
      <xdr:col>10</xdr:col>
      <xdr:colOff>304799</xdr:colOff>
      <xdr:row>36</xdr:row>
      <xdr:rowOff>66261</xdr:rowOff>
    </xdr:to>
    <xdr:graphicFrame macro="">
      <xdr:nvGraphicFramePr>
        <xdr:cNvPr id="7" name="Grafico 6">
          <a:extLst>
            <a:ext uri="{FF2B5EF4-FFF2-40B4-BE49-F238E27FC236}">
              <a16:creationId xmlns:a16="http://schemas.microsoft.com/office/drawing/2014/main" id="{8B15B310-2844-5166-2656-F5640A015FC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325755</xdr:colOff>
      <xdr:row>6</xdr:row>
      <xdr:rowOff>28575</xdr:rowOff>
    </xdr:from>
    <xdr:to>
      <xdr:col>7</xdr:col>
      <xdr:colOff>417195</xdr:colOff>
      <xdr:row>21</xdr:row>
      <xdr:rowOff>28575</xdr:rowOff>
    </xdr:to>
    <xdr:graphicFrame macro="">
      <xdr:nvGraphicFramePr>
        <xdr:cNvPr id="2" name="Grafico 1">
          <a:extLst>
            <a:ext uri="{FF2B5EF4-FFF2-40B4-BE49-F238E27FC236}">
              <a16:creationId xmlns:a16="http://schemas.microsoft.com/office/drawing/2014/main" id="{40B12458-06CD-C8C1-D944-FC044C581EB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36195</xdr:colOff>
      <xdr:row>6</xdr:row>
      <xdr:rowOff>13335</xdr:rowOff>
    </xdr:from>
    <xdr:to>
      <xdr:col>15</xdr:col>
      <xdr:colOff>127635</xdr:colOff>
      <xdr:row>21</xdr:row>
      <xdr:rowOff>13335</xdr:rowOff>
    </xdr:to>
    <xdr:graphicFrame macro="">
      <xdr:nvGraphicFramePr>
        <xdr:cNvPr id="4" name="Grafico 3">
          <a:extLst>
            <a:ext uri="{FF2B5EF4-FFF2-40B4-BE49-F238E27FC236}">
              <a16:creationId xmlns:a16="http://schemas.microsoft.com/office/drawing/2014/main" id="{4B819442-E194-E056-FE4E-FF951532D86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GALAZZO RAFFAELE" id="{9DBE04B2-AE44-48C2-A3BA-9EA936FAE431}" userId="GALAZZO RAFFAELE" providerId="None"/>
  <person displayName="GALAZZO RAFFAELE" id="{2DF06B7C-9752-4674-A2C6-C060155E4657}" userId="S::S292532@studenti.polito.it::db962df1-f176-4a0d-8809-8292f2cc3a7f" providerId="AD"/>
</personList>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2" dT="2022-12-21T11:33:28.25" personId="{9DBE04B2-AE44-48C2-A3BA-9EA936FAE431}" id="{CFCC1B52-8C5A-46E9-A887-F89F176FEA95}">
    <text xml:space="preserve">Report: On the economics of a hydrogen bus fleet powered
by a wind park e A case study for Austria pag 5 table 1
Mi da in tabella un periodo di monitoraggio di 10 anni, con il relativo consumo totale di idrogeno, assumo consumo costante ogni anno quindi ottengo dividendo la distanza totale trascorsa (45000 km) per 10 anni, il valore 4500 [km/y]
</text>
  </threadedComment>
  <threadedComment ref="B3" dT="2023-01-15T12:37:05.54" personId="{9DBE04B2-AE44-48C2-A3BA-9EA936FAE431}" id="{83067067-8463-4E14-8F4C-C8F5216F82B8}">
    <text>https://www.quattroruote.it/news/curiosita/2016/02/24/italiani_alla_guida_in_media_percorrono_11_200_km_all_anno_.html</text>
    <extLst>
      <x:ext xmlns:xltc2="http://schemas.microsoft.com/office/spreadsheetml/2020/threadedcomments2" uri="{F7C98A9C-CBB3-438F-8F68-D28B6AF4A901}">
        <xltc2:checksum>1980402975</xltc2:checksum>
        <xltc2:hyperlink startIndex="0" length="118" url="https://www.quattroruote.it/news/curiosita/2016/02/24/italiani_alla_guida_in_media_percorrono_11_200_km_all_anno_.html"/>
      </x:ext>
    </extLst>
  </threadedComment>
  <threadedComment ref="B3" dT="2023-01-15T12:37:25.74" personId="{9DBE04B2-AE44-48C2-A3BA-9EA936FAE431}" id="{4BA0938B-3067-4193-B046-36F5835A2BFC}" parentId="{83067067-8463-4E14-8F4C-C8F5216F82B8}">
    <text>FONTE 2: https://www.dalcarnoleggio.it/kmannui/#:~:text=I%20risultati%20si%20differenziano%20leggermente,notevolmente%20da%20regione%20a%20regione.</text>
    <extLst>
      <x:ext xmlns:xltc2="http://schemas.microsoft.com/office/spreadsheetml/2020/threadedcomments2" uri="{F7C98A9C-CBB3-438F-8F68-D28B6AF4A901}">
        <xltc2:checksum>2127939827</xltc2:checksum>
        <xltc2:hyperlink startIndex="9" length="137" url="https://www.dalcarnoleggio.it/kmannui/#:~:text=I%20risultati%20si%20differenziano%20leggermente,notevolmente%20da%20regione%20a%20regione"/>
      </x:ext>
    </extLst>
  </threadedComment>
  <threadedComment ref="D3" dT="2022-12-21T10:59:56.33" personId="{9DBE04B2-AE44-48C2-A3BA-9EA936FAE431}" id="{9CE61457-26E0-4757-ABF5-B2B11FDAAC41}">
    <text xml:space="preserve">https://www.toyota.it/electrified/fuel-cell/che-autonomia-hanno-le-auto-a-idrogeno
</text>
    <extLst>
      <x:ext xmlns:xltc2="http://schemas.microsoft.com/office/spreadsheetml/2020/threadedcomments2" uri="{F7C98A9C-CBB3-438F-8F68-D28B6AF4A901}">
        <xltc2:checksum>2475830311</xltc2:checksum>
        <xltc2:hyperlink startIndex="0" length="82" url="https://www.toyota.it/electrified/fuel-cell/che-autonomia-hanno-le-auto-a-idrogeno"/>
      </x:ext>
    </extLst>
  </threadedComment>
  <threadedComment ref="H3" dT="2022-12-21T11:34:14.79" personId="{9DBE04B2-AE44-48C2-A3BA-9EA936FAE431}" id="{D77073EC-B8E0-4996-8EE6-E39991764EFE}">
    <text>Report: On the economics of a hydrogen bus fleet powered
by a wind park e A case study for Austria pag 5</text>
  </threadedComment>
  <threadedComment ref="G4" dT="2022-12-21T11:35:16.88" personId="{9DBE04B2-AE44-48C2-A3BA-9EA936FAE431}" id="{9D75F31F-001D-41CA-A43D-97F1473C6CBD}">
    <text>In the scientific report, it's written that i need 9kg_H2/100km, so i made the calculation to find how many km i can do with 1 kg_H2</text>
  </threadedComment>
  <threadedComment ref="B5" dT="2022-12-21T11:01:27.88" personId="{9DBE04B2-AE44-48C2-A3BA-9EA936FAE431}" id="{E335DAC7-8151-4874-8114-766B5AE7D8A0}">
    <text>https://www.alvolante.it/news/toyota-mirai-record-1003-km-un-pieno-idrogeno-373646</text>
    <extLst>
      <x:ext xmlns:xltc2="http://schemas.microsoft.com/office/spreadsheetml/2020/threadedcomments2" uri="{F7C98A9C-CBB3-438F-8F68-D28B6AF4A901}">
        <xltc2:checksum>1547004461</xltc2:checksum>
        <xltc2:hyperlink startIndex="0" length="82" url="https://www.alvolante.it/news/toyota-mirai-record-1003-km-un-pieno-idrogeno-373646"/>
      </x:ext>
    </extLst>
  </threadedComment>
  <threadedComment ref="H5" dT="2022-12-21T11:38:02.50" personId="{9DBE04B2-AE44-48C2-A3BA-9EA936FAE431}" id="{72EC8341-3A1E-4ACA-8C06-A6CD7496E249}">
    <text>multipling [km/kg_H2]*FULL BUS TANK CAPACITY [kg_H2], i can obtain how many km i can do with full tank capacity</text>
  </threadedComment>
  <threadedComment ref="B6" dT="2022-12-21T11:11:22.35" personId="{9DBE04B2-AE44-48C2-A3BA-9EA936FAE431}" id="{C3538C9D-28DC-4410-B178-CF287E19581B}">
    <text>Pag 61: https://www.isolesostenibili.it/wp-content/uploads/2022/03/ENG-Libro-ISOLE21-1.pdf</text>
    <extLst>
      <x:ext xmlns:xltc2="http://schemas.microsoft.com/office/spreadsheetml/2020/threadedcomments2" uri="{F7C98A9C-CBB3-438F-8F68-D28B6AF4A901}">
        <xltc2:checksum>3981552848</xltc2:checksum>
        <xltc2:hyperlink startIndex="8" length="82" url="https://www.isolesostenibili.it/wp-content/uploads/2022/03/ENG-Libro-ISOLE21-1.pdf"/>
      </x:ext>
    </extLst>
  </threadedComment>
  <threadedComment ref="E6" dT="2023-01-18T10:07:14.95" personId="{9DBE04B2-AE44-48C2-A3BA-9EA936FAE431}" id="{4A36FF9D-7933-4B28-9C1C-72ACC495E285}">
    <text>Da report isole sostenibili ottengo questi valori facendo la proporzione sul totale dei veicoli presenti</text>
  </threadedComment>
  <threadedComment ref="A7" dT="2022-12-21T10:59:56.33" personId="{9DBE04B2-AE44-48C2-A3BA-9EA936FAE431}" id="{799441DF-FA64-495D-B520-E5BD3CE7E531}">
    <text xml:space="preserve">https://www.toyota.it/electrified/fuel-cell/che-autonomia-hanno-le-auto-a-idrogeno
</text>
    <extLst>
      <x:ext xmlns:xltc2="http://schemas.microsoft.com/office/spreadsheetml/2020/threadedcomments2" uri="{F7C98A9C-CBB3-438F-8F68-D28B6AF4A901}">
        <xltc2:checksum>2475830311</xltc2:checksum>
        <xltc2:hyperlink startIndex="0" length="82" url="https://www.toyota.it/electrified/fuel-cell/che-autonomia-hanno-le-auto-a-idrogeno"/>
      </x:ext>
    </extLst>
  </threadedComment>
  <threadedComment ref="Q7" dT="2023-03-04T10:51:09.47" personId="{2DF06B7C-9752-4674-A2C6-C060155E4657}" id="{C54CA117-21D1-40CA-966E-392188259F32}">
    <text>Deve essere in mass fraction</text>
  </threadedComment>
  <threadedComment ref="B9" dT="2023-01-18T09:43:07.86" personId="{9DBE04B2-AE44-48C2-A3BA-9EA936FAE431}" id="{C2384AD4-F81A-4703-B995-E4509D87FE56}">
    <text>total amount of hydrogen that i need for all amount of vehicles in the island [kg_H2/year]</text>
  </threadedComment>
  <threadedComment ref="J11" dT="2022-12-22T10:53:34.18" personId="{9DBE04B2-AE44-48C2-A3BA-9EA936FAE431}" id="{5A98D32D-3A22-4DDA-B153-2401BF4C3A21}">
    <text>Reference:
https://www.energy.gov/eere/fuelcells/doe-technical-targets-hydrogen-delivery</text>
    <extLst>
      <x:ext xmlns:xltc2="http://schemas.microsoft.com/office/spreadsheetml/2020/threadedcomments2" uri="{F7C98A9C-CBB3-438F-8F68-D28B6AF4A901}">
        <xltc2:checksum>1414638843</xltc2:checksum>
        <xltc2:hyperlink startIndex="11" length="77" url="https://www.energy.gov/eere/fuelcells/doe-technical-targets-hydrogen-delivery"/>
      </x:ext>
    </extLst>
  </threadedComment>
  <threadedComment ref="A12" dT="2022-12-22T10:00:10.50" personId="{9DBE04B2-AE44-48C2-A3BA-9EA936FAE431}" id="{56F44DB0-88BF-4C7C-8375-01420ABA8595}">
    <text>Reference: https://www.methanol.org/methanol-price-supply-demand/</text>
    <extLst>
      <x:ext xmlns:xltc2="http://schemas.microsoft.com/office/spreadsheetml/2020/threadedcomments2" uri="{F7C98A9C-CBB3-438F-8F68-D28B6AF4A901}">
        <xltc2:checksum>387715182</xltc2:checksum>
        <xltc2:hyperlink startIndex="11" length="54" url="https://www.methanol.org/methanol-price-supply-demand/"/>
      </x:ext>
    </extLst>
  </threadedComment>
  <threadedComment ref="B12" dT="2023-01-12T08:46:47.08" personId="{9DBE04B2-AE44-48C2-A3BA-9EA936FAE431}" id="{455A4DBA-A1AE-408A-9B1F-AD47FC8DE347}">
    <text>Controlla di nuovo se è biomethanol o e-methanol</text>
  </threadedComment>
  <threadedComment ref="F12" dT="2022-12-22T10:53:59.70" personId="{9DBE04B2-AE44-48C2-A3BA-9EA936FAE431}" id="{3E51B244-2244-4AB9-B54E-3921B66D315F}">
    <text>Reference: 
https://www.energy.gov/eere/fuelcells/doe-technical-targets-hydrogen-delivery</text>
    <extLst>
      <x:ext xmlns:xltc2="http://schemas.microsoft.com/office/spreadsheetml/2020/threadedcomments2" uri="{F7C98A9C-CBB3-438F-8F68-D28B6AF4A901}">
        <xltc2:checksum>783932284</xltc2:checksum>
        <xltc2:hyperlink startIndex="12" length="77" url="https://www.energy.gov/eere/fuelcells/doe-technical-targets-hydrogen-delivery"/>
      </x:ext>
    </extLst>
  </threadedComment>
  <threadedComment ref="A14" dT="2022-12-22T10:50:09.08" personId="{9DBE04B2-AE44-48C2-A3BA-9EA936FAE431}" id="{7536915C-7F65-491E-B9FE-A382834A0095}">
    <text>Reference:
https://www.indiamart.com/proddetail/methanol-storage-tank-25303131688.html</text>
    <extLst>
      <x:ext xmlns:xltc2="http://schemas.microsoft.com/office/spreadsheetml/2020/threadedcomments2" uri="{F7C98A9C-CBB3-438F-8F68-D28B6AF4A901}">
        <xltc2:checksum>3857506133</xltc2:checksum>
        <xltc2:hyperlink startIndex="11" length="75" url="https://www.indiamart.com/proddetail/methanol-storage-tank-25303131688.html"/>
      </x:ext>
    </extLst>
  </threadedComment>
  <threadedComment ref="F14" dT="2022-12-21T11:45:59.96" personId="{9DBE04B2-AE44-48C2-A3BA-9EA936FAE431}" id="{6FDF6608-B8E3-4B8A-A2B5-379683E0C029}">
    <text>L'idrogeno che produco si riferisce al punto della mia curva di polarizzazione: considero l'idrogeno all'anno che produco in quelle condizioni di corrente e tensione e lo moltiplico per il numero di elettrolizzatori che mi serve per raggiungere il mio output, siccome devo avere un numero intero di elettrolizzatori, arrotondo per eccesso il valore e quindi produrrò leggermente di più di quanto mi viene richiesto ogni anno</text>
  </threadedComment>
  <threadedComment ref="B15" dT="2023-01-18T10:09:05.96" personId="{9DBE04B2-AE44-48C2-A3BA-9EA936FAE431}" id="{320CF667-1617-4315-BF1D-A4C2034C090B}">
    <text>tank that i need to store methanol for one month</text>
  </threadedComment>
  <threadedComment ref="C15" dT="2022-12-21T19:33:05.84" personId="{9DBE04B2-AE44-48C2-A3BA-9EA936FAE431}" id="{603F89E2-D41F-47B2-8901-FD129DA3DC5F}">
    <text>From the reaction I calculate the stoichiometric quantity of methanol I need to produce my final hydrogen output</text>
  </threadedComment>
  <threadedComment ref="B16" dT="2023-01-18T10:10:21.98" personId="{9DBE04B2-AE44-48C2-A3BA-9EA936FAE431}" id="{984CE5AB-2771-46A0-A505-8434EBC9020E}">
    <text>Litri totali di metanolo che posso conservare</text>
  </threadedComment>
  <threadedComment ref="B18" dT="2022-12-22T10:45:38.23" personId="{9DBE04B2-AE44-48C2-A3BA-9EA936FAE431}" id="{BFF34AEB-C17D-44A8-9554-C3F48163B1CC}">
    <text>After 30 days i have to refill the tank</text>
  </threadedComment>
  <threadedComment ref="B18" dT="2023-01-18T10:11:09.63" personId="{9DBE04B2-AE44-48C2-A3BA-9EA936FAE431}" id="{4A4C27D5-FCEA-46AE-9C5B-3BDBB43E50A7}" parentId="{BFF34AEB-C17D-44A8-9554-C3F48163B1CC}">
    <text>30 giorni assunti da me</text>
  </threadedComment>
  <threadedComment ref="R22" dT="2022-12-22T10:53:34.18" personId="{9DBE04B2-AE44-48C2-A3BA-9EA936FAE431}" id="{814338B7-EB15-4EFF-86E5-8103223B430D}">
    <text>Reference:
https://www.energy.gov/eere/fuelcells/doe-technical-targets-hydrogen-delivery</text>
    <extLst>
      <x:ext xmlns:xltc2="http://schemas.microsoft.com/office/spreadsheetml/2020/threadedcomments2" uri="{F7C98A9C-CBB3-438F-8F68-D28B6AF4A901}">
        <xltc2:checksum>1414638843</xltc2:checksum>
        <xltc2:hyperlink startIndex="11" length="77" url="https://www.energy.gov/eere/fuelcells/doe-technical-targets-hydrogen-delivery"/>
      </x:ext>
    </extLst>
  </threadedComment>
</ThreadedComments>
</file>

<file path=xl/threadedComments/threadedComment2.xml><?xml version="1.0" encoding="utf-8"?>
<ThreadedComments xmlns="http://schemas.microsoft.com/office/spreadsheetml/2018/threadedcomments" xmlns:x="http://schemas.openxmlformats.org/spreadsheetml/2006/main">
  <threadedComment ref="D2" dT="2022-12-21T10:31:13.76" personId="{9DBE04B2-AE44-48C2-A3BA-9EA936FAE431}" id="{ED021ED6-8CA6-42D7-8FF0-E9CEC556FD5B}">
    <text xml:space="preserve">Calculated at 70°C
</text>
  </threadedComment>
  <threadedComment ref="D2" dT="2022-12-22T16:23:17.28" personId="{9DBE04B2-AE44-48C2-A3BA-9EA936FAE431}" id="{E21C7D13-2C22-44F6-B907-1247594C52AD}" parentId="{ED021ED6-8CA6-42D7-8FF0-E9CEC556FD5B}">
    <text>REFERENCE: PAG 19
Production of Clean Hydrogen by Electrochemical Reforming of Oxygenated Organic Compounds</text>
  </threadedComment>
  <threadedComment ref="E2" dT="2022-12-21T10:31:40.95" personId="{9DBE04B2-AE44-48C2-A3BA-9EA936FAE431}" id="{F4863492-4AB8-475D-8080-25E9BCED8F88}">
    <text xml:space="preserve">Ricalcola alla corretta temperatura quando aggiorni con la nuova curva di polarizzazione
</text>
  </threadedComment>
  <threadedComment ref="F2" dT="2022-12-21T10:33:07.65" personId="{9DBE04B2-AE44-48C2-A3BA-9EA936FAE431}" id="{51134240-0EB6-4DE6-8172-864B8E1295BE}">
    <text>Pag 19 del report: production of clean hydrogen by electroreforming of oxyg. Org compounds</text>
  </threadedComment>
  <threadedComment ref="F2" dT="2022-12-29T13:33:50.85" personId="{9DBE04B2-AE44-48C2-A3BA-9EA936FAE431}" id="{409AACA7-12CE-4742-9E4B-8EFEE31632E8}" parentId="{51134240-0EB6-4DE6-8172-864B8E1295BE}">
    <text>Calculated at 70°C</text>
  </threadedComment>
  <threadedComment ref="G2" dT="2022-12-21T10:34:14.26" personId="{9DBE04B2-AE44-48C2-A3BA-9EA936FAE431}" id="{BBAD98B2-00C4-4515-9B53-3635DC51A2D3}">
    <text xml:space="preserve">Report: pag 8 (salvato sul pc come: 
faradaic eff)
 Faradaic Efficiencies for Methanol Oxidation in Proton-Exchange Membrane Electrolysis and Fuel Cells with Various Anode Catalysts </text>
  </threadedComment>
  <threadedComment ref="G2" dT="2022-12-22T16:32:00.54" personId="{9DBE04B2-AE44-48C2-A3BA-9EA936FAE431}" id="{9437AB54-CDDA-4823-97FA-4D578AF63840}" parentId="{BBAD98B2-00C4-4515-9B53-3635DC51A2D3}">
    <text>PAG 8, TABLE 1</text>
  </threadedComment>
  <threadedComment ref="I3" dT="2022-12-22T11:29:49.36" personId="{9DBE04B2-AE44-48C2-A3BA-9EA936FAE431}" id="{784EFB24-50DD-4F7E-9A9B-85D19A07998E}">
    <text>Assuming CF=100%</text>
  </threadedComment>
  <threadedComment ref="K3" dT="2022-12-22T11:30:04.99" personId="{9DBE04B2-AE44-48C2-A3BA-9EA936FAE431}" id="{A5FFDFE9-EE47-4DF5-A771-011732995AD4}">
    <text xml:space="preserve">REFERENCE: https://www.sciencedirect.com/science/article/pii/S136403211731242X#f0055 </text>
    <extLst>
      <x:ext xmlns:xltc2="http://schemas.microsoft.com/office/spreadsheetml/2020/threadedcomments2" uri="{F7C98A9C-CBB3-438F-8F68-D28B6AF4A901}">
        <xltc2:checksum>598414802</xltc2:checksum>
        <xltc2:hyperlink startIndex="11" length="73" url="https://www.sciencedirect.com/science/article/pii/S136403211731242X#f0055"/>
      </x:ext>
    </extLst>
  </threadedComment>
  <threadedComment ref="H4" dT="2022-12-21T10:34:40.77" personId="{9DBE04B2-AE44-48C2-A3BA-9EA936FAE431}" id="{BE52322A-A332-4EA3-AC01-8537B2FB83A7}">
    <text xml:space="preserve">Reference:
https://www.sciencedirect.com/science/article/pii/S136403211731242X#f0055 </text>
    <extLst>
      <x:ext xmlns:xltc2="http://schemas.microsoft.com/office/spreadsheetml/2020/threadedcomments2" uri="{F7C98A9C-CBB3-438F-8F68-D28B6AF4A901}">
        <xltc2:checksum>3385809634</xltc2:checksum>
        <xltc2:hyperlink startIndex="11" length="73" url="https://www.sciencedirect.com/science/article/pii/S136403211731242X#f0055"/>
      </x:ext>
    </extLst>
  </threadedComment>
  <threadedComment ref="H4" dT="2022-12-22T11:27:47.47" personId="{9DBE04B2-AE44-48C2-A3BA-9EA936FAE431}" id="{BD283420-4814-45CF-8EF5-101563584BC8}" parentId="{BE52322A-A332-4EA3-AC01-8537B2FB83A7}">
    <text>Isn't the data for the number of the cell, but starting from the data available in the document, is possible to make an extimation.</text>
  </threadedComment>
</ThreadedComments>
</file>

<file path=xl/threadedComments/threadedComment3.xml><?xml version="1.0" encoding="utf-8"?>
<ThreadedComments xmlns="http://schemas.microsoft.com/office/spreadsheetml/2018/threadedcomments" xmlns:x="http://schemas.openxmlformats.org/spreadsheetml/2006/main">
  <threadedComment ref="B3" dT="2023-01-13T10:47:22.53" personId="{9DBE04B2-AE44-48C2-A3BA-9EA936FAE431}" id="{F67BED40-2A1A-4587-836E-54FEC9A578F3}">
    <text>You can find the formula in the supporting information word document</text>
  </threadedComment>
</ThreadedComments>
</file>

<file path=xl/threadedComments/threadedComment4.xml><?xml version="1.0" encoding="utf-8"?>
<ThreadedComments xmlns="http://schemas.microsoft.com/office/spreadsheetml/2018/threadedcomments" xmlns:x="http://schemas.openxmlformats.org/spreadsheetml/2006/main">
  <threadedComment ref="AB1" dT="2023-02-06T09:03:51.31" personId="{2DF06B7C-9752-4674-A2C6-C060155E4657}" id="{B884036D-B9E7-41BC-9209-D3BB05391B01}">
    <text>Numeratore uguale alla formula della reference, cioè con decommisioning e substitution come opex attualizzati, denominatore non attualizzando l'idrogeno prodotto</text>
  </threadedComment>
  <threadedComment ref="H2" dT="2023-01-18T09:52:34.26" personId="{9DBE04B2-AE44-48C2-A3BA-9EA936FAE431}" id="{D5CFFBE9-E629-43F2-AD5D-6E4C282E0D97}">
    <text>Proporre di fare in 20 anni tanto non cambia</text>
  </threadedComment>
  <threadedComment ref="U2" dT="2023-02-06T09:04:50.12" personId="{2DF06B7C-9752-4674-A2C6-C060155E4657}" id="{782747D0-A971-40AB-B1B5-84EE2E744166}">
    <text>Considero nel capex anche decommisioning e substitution, denominatore non attualizzato</text>
  </threadedComment>
  <threadedComment ref="AA2" dT="2023-02-06T09:04:15.31" personId="{2DF06B7C-9752-4674-A2C6-C060155E4657}" id="{89B30177-15A9-42E5-866D-CCA1AE76C8CF}">
    <text>Formula identica a come fatto nella reference</text>
  </threadedComment>
  <threadedComment ref="A24" dT="2023-01-18T09:33:29.01" personId="{9DBE04B2-AE44-48C2-A3BA-9EA936FAE431}" id="{11634258-43CF-4D61-B703-66884D2416D0}">
    <text>Media fatta da due report</text>
  </threadedComment>
  <threadedComment ref="A24" dT="2023-01-18T09:34:31.09" personId="{9DBE04B2-AE44-48C2-A3BA-9EA936FAE431}" id="{1906824F-E5DD-4799-ADEE-8403FBA47DEB}" parentId="{11634258-43CF-4D61-B703-66884D2416D0}">
    <text>-IEA: https://www.iea.org/commentaries/is-carbon-capture-too-expensive
-A multi-scale framework for CO2capture, utilization, andsequestration: CCUS and CCU</text>
    <extLst>
      <x:ext xmlns:xltc2="http://schemas.microsoft.com/office/spreadsheetml/2020/threadedcomments2" uri="{F7C98A9C-CBB3-438F-8F68-D28B6AF4A901}">
        <xltc2:checksum>2929403639</xltc2:checksum>
        <xltc2:hyperlink startIndex="6" length="64" url="https://www.iea.org/commentaries/is-carbon-capture-too-expensive"/>
      </x:ext>
    </extLst>
  </threadedComment>
  <threadedComment ref="A30" dT="2023-01-18T09:51:28.30" personId="{9DBE04B2-AE44-48C2-A3BA-9EA936FAE431}" id="{06EBA73B-6610-4683-8A89-D7A7D7EDD1DC}">
    <text>Va aggiunto ogni anno di decommisioning o solo alla fine</text>
  </threadedComment>
  <threadedComment ref="A31" dT="2023-01-16T12:56:10.86" personId="{9DBE04B2-AE44-48C2-A3BA-9EA936FAE431}" id="{0C6EC151-FB6C-4BA4-90A1-4F0F1AD01A35}">
    <text>Parla di questo</text>
  </threadedComment>
</ThreadedComments>
</file>

<file path=xl/threadedComments/threadedComment5.xml><?xml version="1.0" encoding="utf-8"?>
<ThreadedComments xmlns="http://schemas.microsoft.com/office/spreadsheetml/2018/threadedcomments" xmlns:x="http://schemas.openxmlformats.org/spreadsheetml/2006/main">
  <threadedComment ref="AG1" dT="2023-02-06T09:03:51.31" personId="{2DF06B7C-9752-4674-A2C6-C060155E4657}" id="{72B765DB-51C6-4551-B1C7-395EE2A143C7}">
    <text>Numeratore uguale alla formula della reference, cioè con decommisioning e substitution come opex attualizzati, denominatore non attualizzando l'idrogeno prodotto</text>
  </threadedComment>
  <threadedComment ref="H2" dT="2023-01-18T09:52:34.26" personId="{9DBE04B2-AE44-48C2-A3BA-9EA936FAE431}" id="{92BD4676-982B-416E-9795-BBD02329E6F0}">
    <text>Proporre di fare in 20 anni tanto non cambia</text>
  </threadedComment>
  <threadedComment ref="Z2" dT="2023-02-06T09:04:50.12" personId="{2DF06B7C-9752-4674-A2C6-C060155E4657}" id="{70189F43-53DB-4788-A489-D44DE30692A0}">
    <text>Considero nel capex anche decommisioning e substitution, denominatore non attualizzato</text>
  </threadedComment>
  <threadedComment ref="AF2" dT="2023-02-06T09:04:15.31" personId="{2DF06B7C-9752-4674-A2C6-C060155E4657}" id="{73DE8E65-0A51-417D-B517-CC331F67E6E4}">
    <text>Formula identica a come fatto nella reference</text>
  </threadedComment>
  <threadedComment ref="A24" dT="2023-01-18T09:33:29.01" personId="{9DBE04B2-AE44-48C2-A3BA-9EA936FAE431}" id="{0A2A473C-BD14-45D0-B28B-8D4D1063B408}">
    <text>Media fatta da due report</text>
  </threadedComment>
  <threadedComment ref="A24" dT="2023-01-18T09:34:31.09" personId="{9DBE04B2-AE44-48C2-A3BA-9EA936FAE431}" id="{BBC59D0C-92C4-480D-8CF2-D6CD24C3B6BA}" parentId="{0A2A473C-BD14-45D0-B28B-8D4D1063B408}">
    <text>-IEA: https://www.iea.org/commentaries/is-carbon-capture-too-expensive
-A multi-scale framework for CO2capture, utilization, andsequestration: CCUS and CCU</text>
    <extLst>
      <x:ext xmlns:xltc2="http://schemas.microsoft.com/office/spreadsheetml/2020/threadedcomments2" uri="{F7C98A9C-CBB3-438F-8F68-D28B6AF4A901}">
        <xltc2:checksum>2929403639</xltc2:checksum>
        <xltc2:hyperlink startIndex="6" length="64" url="https://www.iea.org/commentaries/is-carbon-capture-too-expensive"/>
      </x:ext>
    </extLst>
  </threadedComment>
  <threadedComment ref="A30" dT="2023-01-18T09:51:28.30" personId="{9DBE04B2-AE44-48C2-A3BA-9EA936FAE431}" id="{9546F218-974F-4D78-B3FD-0C621AB79274}">
    <text>Va aggiunto ogni anno di decommisioning o solo alla fine</text>
  </threadedComment>
  <threadedComment ref="A31" dT="2023-01-16T12:56:10.86" personId="{9DBE04B2-AE44-48C2-A3BA-9EA936FAE431}" id="{2030B6B5-F89F-4D70-9CE7-F26EBD7CA5DE}">
    <text>Parla di questo</text>
  </threadedComment>
</ThreadedComments>
</file>

<file path=xl/threadedComments/threadedComment6.xml><?xml version="1.0" encoding="utf-8"?>
<ThreadedComments xmlns="http://schemas.microsoft.com/office/spreadsheetml/2018/threadedcomments" xmlns:x="http://schemas.openxmlformats.org/spreadsheetml/2006/main">
  <threadedComment ref="AG1" dT="2023-02-06T09:03:51.31" personId="{2DF06B7C-9752-4674-A2C6-C060155E4657}" id="{1E501E19-9C52-4E8F-8AA2-F1E83CF02FB8}">
    <text>Numeratore uguale alla formula della reference, cioè con decommisioning e substitution come opex attualizzati, denominatore non attualizzando l'idrogeno prodotto</text>
  </threadedComment>
  <threadedComment ref="H2" dT="2023-01-18T09:52:34.26" personId="{9DBE04B2-AE44-48C2-A3BA-9EA936FAE431}" id="{6E11A27B-FB95-4A38-9B46-E701134D88B8}">
    <text>Proporre di fare in 20 anni tanto non cambia</text>
  </threadedComment>
  <threadedComment ref="Z2" dT="2023-02-06T09:04:50.12" personId="{2DF06B7C-9752-4674-A2C6-C060155E4657}" id="{B6C54232-2504-42E7-8F7E-8A85A645F679}">
    <text>Considero nel capex anche decommisioning e substitution, denominatore non attualizzato</text>
  </threadedComment>
  <threadedComment ref="AF2" dT="2023-02-06T09:04:15.31" personId="{2DF06B7C-9752-4674-A2C6-C060155E4657}" id="{CDCE1ED1-90E8-4B97-A6EE-C57C8CD128F4}">
    <text>Formula identica a come fatto nella reference</text>
  </threadedComment>
  <threadedComment ref="A24" dT="2023-01-18T09:33:29.01" personId="{9DBE04B2-AE44-48C2-A3BA-9EA936FAE431}" id="{EB91DFF1-2605-4B76-88E7-34A8DFA6B2FC}">
    <text>Media fatta da due report</text>
  </threadedComment>
  <threadedComment ref="A24" dT="2023-01-18T09:34:31.09" personId="{9DBE04B2-AE44-48C2-A3BA-9EA936FAE431}" id="{425EC337-0288-4941-BF76-5C3302911D88}" parentId="{EB91DFF1-2605-4B76-88E7-34A8DFA6B2FC}">
    <text>-IEA: https://www.iea.org/commentaries/is-carbon-capture-too-expensive
-A multi-scale framework for CO2capture, utilization, andsequestration: CCUS and CCU</text>
    <extLst>
      <x:ext xmlns:xltc2="http://schemas.microsoft.com/office/spreadsheetml/2020/threadedcomments2" uri="{F7C98A9C-CBB3-438F-8F68-D28B6AF4A901}">
        <xltc2:checksum>2929403639</xltc2:checksum>
        <xltc2:hyperlink startIndex="6" length="64" url="https://www.iea.org/commentaries/is-carbon-capture-too-expensive"/>
      </x:ext>
    </extLst>
  </threadedComment>
  <threadedComment ref="A30" dT="2023-01-18T09:51:28.30" personId="{9DBE04B2-AE44-48C2-A3BA-9EA936FAE431}" id="{47694766-028E-41D5-A2DE-AAA43560D5C7}">
    <text>Va aggiunto ogni anno di decommisioning o solo alla fine</text>
  </threadedComment>
  <threadedComment ref="A31" dT="2023-01-16T12:56:10.86" personId="{9DBE04B2-AE44-48C2-A3BA-9EA936FAE431}" id="{FC1CD2F8-786A-4FE5-BE35-E0608CB25F36}">
    <text>Parla di questo</text>
  </threadedComment>
</ThreadedComments>
</file>

<file path=xl/threadedComments/threadedComment7.xml><?xml version="1.0" encoding="utf-8"?>
<ThreadedComments xmlns="http://schemas.microsoft.com/office/spreadsheetml/2018/threadedcomments" xmlns:x="http://schemas.openxmlformats.org/spreadsheetml/2006/main">
  <threadedComment ref="AG1" dT="2023-02-06T09:03:51.31" personId="{2DF06B7C-9752-4674-A2C6-C060155E4657}" id="{B624B8A0-0605-46F7-A102-2392E3CB8A48}">
    <text>Numeratore uguale alla formula della reference, cioè con decommisioning e substitution come opex attualizzati, denominatore non attualizzando l'idrogeno prodotto</text>
  </threadedComment>
  <threadedComment ref="H2" dT="2023-01-18T09:52:34.26" personId="{9DBE04B2-AE44-48C2-A3BA-9EA936FAE431}" id="{9CFE639B-6043-4396-A3E4-44570B0F93D4}">
    <text>Proporre di fare in 20 anni tanto non cambia</text>
  </threadedComment>
  <threadedComment ref="Z2" dT="2023-02-06T09:04:50.12" personId="{2DF06B7C-9752-4674-A2C6-C060155E4657}" id="{F764BE51-C11A-4F84-8DD0-90D54553D782}">
    <text>Considero nel capex anche decommisioning e substitution, denominatore non attualizzato</text>
  </threadedComment>
  <threadedComment ref="AF2" dT="2023-02-06T09:04:15.31" personId="{2DF06B7C-9752-4674-A2C6-C060155E4657}" id="{930F0430-1BE8-48E3-8299-349BEB49315D}">
    <text>Formula identica a come fatto nella reference</text>
  </threadedComment>
  <threadedComment ref="A24" dT="2023-01-18T09:33:29.01" personId="{9DBE04B2-AE44-48C2-A3BA-9EA936FAE431}" id="{C5EAACB2-B59D-4117-9790-06B63E53C909}">
    <text>Media fatta da due report</text>
  </threadedComment>
  <threadedComment ref="A24" dT="2023-01-18T09:34:31.09" personId="{9DBE04B2-AE44-48C2-A3BA-9EA936FAE431}" id="{5CB188DA-F0C3-49BB-8E02-610569A06A3A}" parentId="{C5EAACB2-B59D-4117-9790-06B63E53C909}">
    <text>-IEA: https://www.iea.org/commentaries/is-carbon-capture-too-expensive
-A multi-scale framework for CO2capture, utilization, andsequestration: CCUS and CCU</text>
    <extLst>
      <x:ext xmlns:xltc2="http://schemas.microsoft.com/office/spreadsheetml/2020/threadedcomments2" uri="{F7C98A9C-CBB3-438F-8F68-D28B6AF4A901}">
        <xltc2:checksum>2929403639</xltc2:checksum>
        <xltc2:hyperlink startIndex="6" length="64" url="https://www.iea.org/commentaries/is-carbon-capture-too-expensive"/>
      </x:ext>
    </extLst>
  </threadedComment>
  <threadedComment ref="A30" dT="2023-01-18T09:51:28.30" personId="{9DBE04B2-AE44-48C2-A3BA-9EA936FAE431}" id="{987FAA1D-A902-4C9C-A5EA-C064BA3A2E88}">
    <text>Va aggiunto ogni anno di decommisioning o solo alla fine</text>
  </threadedComment>
  <threadedComment ref="A31" dT="2023-01-16T12:56:10.86" personId="{9DBE04B2-AE44-48C2-A3BA-9EA936FAE431}" id="{ED102CED-478D-4212-AA49-55221E408E6C}">
    <text>Parla di questo</text>
  </threadedComment>
</ThreadedComments>
</file>

<file path=xl/threadedComments/threadedComment8.xml><?xml version="1.0" encoding="utf-8"?>
<ThreadedComments xmlns="http://schemas.microsoft.com/office/spreadsheetml/2018/threadedcomments" xmlns:x="http://schemas.openxmlformats.org/spreadsheetml/2006/main">
  <threadedComment ref="AG1" dT="2023-02-06T09:03:51.31" personId="{2DF06B7C-9752-4674-A2C6-C060155E4657}" id="{D9B4E052-73A9-4222-B9DD-A59AF7C7A273}">
    <text>Numeratore uguale alla formula della reference, cioè con decommisioning e substitution come opex attualizzati, denominatore non attualizzando l'idrogeno prodotto</text>
  </threadedComment>
  <threadedComment ref="H2" dT="2023-01-18T09:52:34.26" personId="{9DBE04B2-AE44-48C2-A3BA-9EA936FAE431}" id="{DDEB7846-A50F-45C1-9D23-FB164D14E518}">
    <text>Proporre di fare in 20 anni tanto non cambia</text>
  </threadedComment>
  <threadedComment ref="Z2" dT="2023-02-06T09:04:50.12" personId="{2DF06B7C-9752-4674-A2C6-C060155E4657}" id="{7C8CD373-5F33-4B27-96F2-CAF0335AF580}">
    <text>Considero nel capex anche decommisioning e substitution, denominatore non attualizzato</text>
  </threadedComment>
  <threadedComment ref="AF2" dT="2023-02-06T09:04:15.31" personId="{2DF06B7C-9752-4674-A2C6-C060155E4657}" id="{30361B15-7C3E-4008-8736-EBD39A9A4990}">
    <text>Formula identica a come fatto nella reference</text>
  </threadedComment>
  <threadedComment ref="A24" dT="2023-01-18T09:33:29.01" personId="{9DBE04B2-AE44-48C2-A3BA-9EA936FAE431}" id="{55F9DA8E-6F42-4853-B98B-AD51DBC1865B}">
    <text>Media fatta da due report</text>
  </threadedComment>
  <threadedComment ref="A24" dT="2023-01-18T09:34:31.09" personId="{9DBE04B2-AE44-48C2-A3BA-9EA936FAE431}" id="{B4EC31E7-C8C8-41AF-BF0E-B056FAFCC0CB}" parentId="{55F9DA8E-6F42-4853-B98B-AD51DBC1865B}">
    <text>-IEA: https://www.iea.org/commentaries/is-carbon-capture-too-expensive
-A multi-scale framework for CO2capture, utilization, andsequestration: CCUS and CCU</text>
    <extLst>
      <x:ext xmlns:xltc2="http://schemas.microsoft.com/office/spreadsheetml/2020/threadedcomments2" uri="{F7C98A9C-CBB3-438F-8F68-D28B6AF4A901}">
        <xltc2:checksum>2929403639</xltc2:checksum>
        <xltc2:hyperlink startIndex="6" length="64" url="https://www.iea.org/commentaries/is-carbon-capture-too-expensive"/>
      </x:ext>
    </extLst>
  </threadedComment>
  <threadedComment ref="A30" dT="2023-01-18T09:51:28.30" personId="{9DBE04B2-AE44-48C2-A3BA-9EA936FAE431}" id="{EB4EBD0F-8710-4AE1-A620-246E21F18FC8}">
    <text>Va aggiunto ogni anno di decommisioning o solo alla fine</text>
  </threadedComment>
  <threadedComment ref="A31" dT="2023-01-16T12:56:10.86" personId="{9DBE04B2-AE44-48C2-A3BA-9EA936FAE431}" id="{82D670BA-8393-4B70-A3F4-4E64B777A44F}">
    <text>Parla di questo</text>
  </threadedComment>
</ThreadedComments>
</file>

<file path=xl/worksheets/_rels/sheet1.xml.rels><?xml version="1.0" encoding="UTF-8" standalone="yes"?>
<Relationships xmlns="http://schemas.openxmlformats.org/package/2006/relationships"><Relationship Id="rId3" Type="http://schemas.openxmlformats.org/officeDocument/2006/relationships/hyperlink" Target="https://www.energy.gov/eere/fuelcells/doe-technical-targets-hydrogen-delivery" TargetMode="External"/><Relationship Id="rId2" Type="http://schemas.openxmlformats.org/officeDocument/2006/relationships/hyperlink" Target="https://www.energy.gov/eere/fuelcells/doe-technical-targets-hydrogen-delivery" TargetMode="External"/><Relationship Id="rId1" Type="http://schemas.openxmlformats.org/officeDocument/2006/relationships/hyperlink" Target="https://www.indiamart.com/proddetail/methanol-storage-tank-25303131688.html"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microsoft.com/office/2017/10/relationships/threadedComment" Target="../threadedComments/threadedComment6.xml"/><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microsoft.com/office/2017/10/relationships/threadedComment" Target="../threadedComments/threadedComment7.xml"/><Relationship Id="rId4" Type="http://schemas.openxmlformats.org/officeDocument/2006/relationships/comments" Target="../comments7.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microsoft.com/office/2017/10/relationships/threadedComment" Target="../threadedComments/threadedComment8.xml"/><Relationship Id="rId4" Type="http://schemas.openxmlformats.org/officeDocument/2006/relationships/comments" Target="../comments8.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hyperlink" Target="https://www.leaseplan.com/it-it/news-auto/futuro-della-mobilita/auto-a-idrogeno-come-funzionano-costi-e-modelli/" TargetMode="Externa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6.bin"/><Relationship Id="rId5" Type="http://schemas.microsoft.com/office/2017/10/relationships/threadedComment" Target="../threadedComments/threadedComment4.xml"/><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microsoft.com/office/2017/10/relationships/threadedComment" Target="../threadedComments/threadedComment5.xml"/><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75765-82A9-4EA4-A873-83BDCF07A996}">
  <dimension ref="A1:U20"/>
  <sheetViews>
    <sheetView topLeftCell="A13" workbookViewId="0">
      <selection activeCell="G17" sqref="G17"/>
    </sheetView>
  </sheetViews>
  <sheetFormatPr defaultRowHeight="14.4" x14ac:dyDescent="0.55000000000000004"/>
  <cols>
    <col min="1" max="1" width="13.15625" customWidth="1"/>
    <col min="3" max="3" width="21.578125" customWidth="1"/>
    <col min="4" max="4" width="18.41796875" customWidth="1"/>
    <col min="5" max="5" width="16.26171875" customWidth="1"/>
    <col min="6" max="7" width="11.15625" bestFit="1" customWidth="1"/>
    <col min="9" max="9" width="15.15625" customWidth="1"/>
    <col min="10" max="10" width="12.15625" customWidth="1"/>
  </cols>
  <sheetData>
    <row r="1" spans="1:21" ht="14.7" thickBot="1" x14ac:dyDescent="0.6">
      <c r="A1" s="249" t="s">
        <v>0</v>
      </c>
      <c r="B1" s="250"/>
      <c r="C1" s="251"/>
      <c r="D1" s="249" t="s">
        <v>1</v>
      </c>
      <c r="E1" s="250"/>
      <c r="F1" s="251"/>
    </row>
    <row r="2" spans="1:21" ht="29.1" thickBot="1" x14ac:dyDescent="0.6">
      <c r="A2" s="8" t="s">
        <v>2</v>
      </c>
      <c r="B2" s="33">
        <f>365</f>
        <v>365</v>
      </c>
      <c r="C2" s="35"/>
      <c r="D2" s="8" t="s">
        <v>2</v>
      </c>
      <c r="E2" s="36">
        <f>365</f>
        <v>365</v>
      </c>
      <c r="F2" s="4"/>
      <c r="G2" s="1"/>
      <c r="H2" s="1"/>
      <c r="I2" s="1"/>
      <c r="J2" s="1"/>
      <c r="K2" s="1"/>
      <c r="L2" s="1"/>
      <c r="M2" s="1"/>
      <c r="N2" s="1"/>
      <c r="O2" s="1"/>
      <c r="P2" s="1"/>
      <c r="Q2" s="1"/>
      <c r="R2" s="1"/>
      <c r="S2" s="1"/>
      <c r="T2" s="1"/>
      <c r="U2" s="1"/>
    </row>
    <row r="3" spans="1:21" ht="29.1" thickBot="1" x14ac:dyDescent="0.6">
      <c r="A3" s="9" t="s">
        <v>3</v>
      </c>
      <c r="B3" s="33">
        <v>10</v>
      </c>
      <c r="C3" s="35"/>
      <c r="D3" s="9" t="s">
        <v>4</v>
      </c>
      <c r="E3" s="37">
        <v>600</v>
      </c>
      <c r="F3" s="3"/>
      <c r="G3" s="1"/>
      <c r="H3" s="1"/>
      <c r="I3" s="23" t="s">
        <v>5</v>
      </c>
      <c r="J3" s="11">
        <f>B9+E9</f>
        <v>930600</v>
      </c>
      <c r="K3" s="22" t="s">
        <v>6</v>
      </c>
      <c r="L3" s="1"/>
      <c r="M3" s="1"/>
      <c r="N3" s="1"/>
      <c r="O3" s="1"/>
      <c r="P3" s="1"/>
      <c r="Q3" s="1"/>
      <c r="R3" s="1"/>
      <c r="S3" s="1"/>
      <c r="T3" s="1"/>
      <c r="U3" s="1"/>
    </row>
    <row r="4" spans="1:21" ht="43.2" x14ac:dyDescent="0.55000000000000004">
      <c r="A4" s="9" t="s">
        <v>7</v>
      </c>
      <c r="B4" s="33">
        <f>INT(B2/B3)</f>
        <v>36</v>
      </c>
      <c r="C4" s="35"/>
      <c r="D4" s="9" t="s">
        <v>3</v>
      </c>
      <c r="E4" s="37">
        <v>10</v>
      </c>
      <c r="F4" s="3"/>
      <c r="G4" s="1"/>
      <c r="H4" s="1"/>
      <c r="I4" s="34" t="s">
        <v>8</v>
      </c>
      <c r="J4" s="70">
        <f>J3/'caratteristiche cella '!S18</f>
        <v>7.4124401069711743</v>
      </c>
      <c r="K4" s="1"/>
      <c r="L4" s="1"/>
      <c r="M4" s="1"/>
      <c r="N4" s="1"/>
      <c r="O4" s="1"/>
      <c r="P4" s="1"/>
      <c r="Q4" s="1"/>
      <c r="R4" s="1"/>
      <c r="S4" s="1"/>
      <c r="T4" s="1"/>
      <c r="U4" s="1"/>
    </row>
    <row r="5" spans="1:21" ht="29.1" thickBot="1" x14ac:dyDescent="0.6">
      <c r="A5" s="10" t="s">
        <v>9</v>
      </c>
      <c r="B5" s="38">
        <v>5</v>
      </c>
      <c r="C5" s="39"/>
      <c r="D5" s="9" t="s">
        <v>10</v>
      </c>
      <c r="E5" s="40">
        <f>INT(E2/E4)</f>
        <v>36</v>
      </c>
      <c r="F5" s="6"/>
      <c r="G5" s="1"/>
      <c r="H5" s="1"/>
      <c r="I5" s="1"/>
      <c r="J5" s="1"/>
      <c r="K5" s="1"/>
      <c r="L5" s="1"/>
      <c r="M5" s="1"/>
      <c r="N5" s="1"/>
      <c r="O5" s="1"/>
      <c r="P5" s="1"/>
      <c r="Q5" s="1"/>
      <c r="R5" s="1"/>
      <c r="S5" s="1"/>
      <c r="T5" s="1"/>
      <c r="U5" s="1"/>
    </row>
    <row r="6" spans="1:21" ht="29.1" thickBot="1" x14ac:dyDescent="0.6">
      <c r="A6" s="11" t="s">
        <v>11</v>
      </c>
      <c r="B6" s="41">
        <v>850</v>
      </c>
      <c r="C6" s="22"/>
      <c r="D6" s="9" t="s">
        <v>9</v>
      </c>
      <c r="E6" s="37">
        <v>9</v>
      </c>
      <c r="F6" s="3"/>
      <c r="G6" s="1"/>
      <c r="H6" s="1"/>
      <c r="I6" s="1"/>
      <c r="J6" s="1"/>
      <c r="K6" s="1"/>
      <c r="L6" s="1"/>
      <c r="M6" s="1"/>
      <c r="N6" s="1"/>
      <c r="O6" s="1"/>
      <c r="P6" s="1"/>
      <c r="Q6" s="1"/>
      <c r="R6" s="1"/>
      <c r="S6" s="1"/>
      <c r="T6" s="1"/>
      <c r="U6" s="1"/>
    </row>
    <row r="7" spans="1:21" ht="14.7" thickBot="1" x14ac:dyDescent="0.6">
      <c r="B7" s="42"/>
      <c r="C7" s="42"/>
      <c r="D7" s="11" t="s">
        <v>12</v>
      </c>
      <c r="E7" s="43">
        <v>4</v>
      </c>
      <c r="F7" s="13"/>
      <c r="G7" s="1"/>
      <c r="H7" s="1"/>
      <c r="I7" s="1"/>
      <c r="J7" s="1"/>
      <c r="K7" s="1"/>
      <c r="L7" s="1"/>
      <c r="M7" s="1"/>
      <c r="N7" s="1"/>
      <c r="O7" s="1"/>
      <c r="P7" s="1"/>
      <c r="Q7" s="1"/>
      <c r="R7" s="1"/>
      <c r="S7" s="1"/>
      <c r="T7" s="1"/>
      <c r="U7" s="1"/>
    </row>
    <row r="8" spans="1:21" ht="43.5" thickBot="1" x14ac:dyDescent="0.6">
      <c r="A8" s="12" t="s">
        <v>13</v>
      </c>
      <c r="B8" s="41">
        <f>B5*B4</f>
        <v>180</v>
      </c>
      <c r="C8" s="41" t="s">
        <v>14</v>
      </c>
      <c r="D8" s="12" t="s">
        <v>15</v>
      </c>
      <c r="E8" s="41">
        <f>E6*E3*E5</f>
        <v>194400</v>
      </c>
      <c r="F8" s="22" t="s">
        <v>14</v>
      </c>
      <c r="G8" s="1"/>
      <c r="H8" s="1"/>
      <c r="I8" s="1"/>
      <c r="J8" s="1"/>
      <c r="K8" s="1"/>
      <c r="L8" s="1"/>
      <c r="M8" s="1"/>
      <c r="N8" s="1"/>
      <c r="O8" s="1"/>
      <c r="P8" s="1"/>
      <c r="Q8" s="1"/>
      <c r="R8" s="1"/>
      <c r="S8" s="1"/>
      <c r="T8" s="1"/>
      <c r="U8" s="1"/>
    </row>
    <row r="9" spans="1:21" ht="43.5" thickBot="1" x14ac:dyDescent="0.6">
      <c r="A9" s="12" t="s">
        <v>16</v>
      </c>
      <c r="B9" s="44">
        <f>B8*B6</f>
        <v>153000</v>
      </c>
      <c r="C9" s="33" t="s">
        <v>17</v>
      </c>
      <c r="D9" s="12" t="s">
        <v>18</v>
      </c>
      <c r="E9" s="44">
        <f>E8*E7</f>
        <v>777600</v>
      </c>
      <c r="F9" s="33"/>
      <c r="G9" s="1"/>
      <c r="H9" s="1"/>
      <c r="I9" s="1"/>
      <c r="J9" s="1"/>
      <c r="K9" s="1"/>
      <c r="L9" s="1"/>
      <c r="M9" s="1"/>
      <c r="N9" s="1"/>
      <c r="O9" s="1"/>
      <c r="P9" s="1"/>
      <c r="Q9" s="1"/>
      <c r="R9" s="1"/>
      <c r="S9" s="1"/>
      <c r="T9" s="1"/>
      <c r="U9" s="1"/>
    </row>
    <row r="10" spans="1:21" x14ac:dyDescent="0.55000000000000004">
      <c r="A10" s="1"/>
      <c r="B10" s="1"/>
      <c r="C10" s="1"/>
      <c r="D10" s="1"/>
      <c r="E10" s="1"/>
      <c r="F10" s="1"/>
      <c r="G10" s="1"/>
      <c r="H10" s="1"/>
      <c r="I10" s="1"/>
      <c r="J10" s="1"/>
      <c r="K10" s="1"/>
      <c r="L10" s="1"/>
      <c r="M10" s="1"/>
      <c r="N10" s="1"/>
      <c r="O10" s="1"/>
      <c r="P10" s="1"/>
      <c r="Q10" s="1"/>
      <c r="R10" s="1"/>
      <c r="S10" s="1"/>
      <c r="T10" s="1"/>
      <c r="U10" s="1"/>
    </row>
    <row r="11" spans="1:21" ht="30" customHeight="1" x14ac:dyDescent="0.55000000000000004">
      <c r="A11" s="66" t="s">
        <v>19</v>
      </c>
      <c r="B11" s="1"/>
      <c r="C11" s="1"/>
      <c r="D11" s="1"/>
      <c r="E11" s="1"/>
      <c r="F11" s="68" t="s">
        <v>20</v>
      </c>
      <c r="G11" s="1" t="s">
        <v>21</v>
      </c>
      <c r="H11" s="1"/>
      <c r="I11" s="1"/>
      <c r="J11" s="68" t="s">
        <v>22</v>
      </c>
      <c r="K11" s="67" t="s">
        <v>23</v>
      </c>
      <c r="L11" s="1"/>
      <c r="M11" s="1"/>
      <c r="N11" s="1"/>
      <c r="O11" s="1"/>
      <c r="P11" s="1"/>
      <c r="Q11" s="1"/>
      <c r="R11" s="1"/>
      <c r="S11" s="1"/>
      <c r="T11" s="1"/>
      <c r="U11" s="1"/>
    </row>
    <row r="12" spans="1:21" ht="61.15" customHeight="1" x14ac:dyDescent="0.55000000000000004">
      <c r="A12" s="1" t="s">
        <v>24</v>
      </c>
      <c r="B12" s="33">
        <v>455</v>
      </c>
      <c r="C12" s="1" t="s">
        <v>25</v>
      </c>
      <c r="D12" s="1">
        <v>0.79</v>
      </c>
      <c r="F12" s="1" t="s">
        <v>26</v>
      </c>
      <c r="G12" s="1">
        <v>600</v>
      </c>
      <c r="H12" s="67" t="s">
        <v>23</v>
      </c>
      <c r="I12" s="1"/>
      <c r="J12" s="1" t="s">
        <v>27</v>
      </c>
      <c r="K12" s="1">
        <v>2.8</v>
      </c>
      <c r="L12" s="1"/>
      <c r="M12" s="1"/>
      <c r="N12" s="1"/>
      <c r="O12" s="1"/>
      <c r="P12" s="1"/>
      <c r="Q12" s="1"/>
      <c r="R12" s="1"/>
      <c r="S12" s="1"/>
      <c r="T12" s="1"/>
      <c r="U12" s="1"/>
    </row>
    <row r="13" spans="1:21" ht="43.2" x14ac:dyDescent="0.55000000000000004">
      <c r="A13" s="1" t="s">
        <v>28</v>
      </c>
      <c r="B13" s="33">
        <v>4963.2</v>
      </c>
      <c r="C13" s="1" t="s">
        <v>29</v>
      </c>
      <c r="D13" s="1">
        <f>B13*1000/365</f>
        <v>13597.808219178081</v>
      </c>
      <c r="E13" s="1"/>
      <c r="F13" s="69" t="s">
        <v>30</v>
      </c>
      <c r="G13">
        <f>'caratteristiche cella '!S18*'output H2'!J4/365</f>
        <v>2549.5890410958905</v>
      </c>
      <c r="H13" s="1"/>
      <c r="I13" s="1"/>
      <c r="J13" s="69" t="s">
        <v>31</v>
      </c>
      <c r="K13">
        <f>K12*J3/1000</f>
        <v>2605.6799999999998</v>
      </c>
      <c r="M13" s="1"/>
      <c r="N13" s="1"/>
      <c r="O13" s="1"/>
      <c r="P13" s="1"/>
      <c r="Q13" s="1"/>
      <c r="R13" s="1"/>
      <c r="S13" s="1"/>
      <c r="T13" s="1"/>
      <c r="U13" s="1"/>
    </row>
    <row r="14" spans="1:21" ht="63.6" customHeight="1" x14ac:dyDescent="0.55000000000000004">
      <c r="A14" s="33" t="s">
        <v>32</v>
      </c>
      <c r="B14" s="33">
        <f>17060/10^6</f>
        <v>1.7059999999999999E-2</v>
      </c>
      <c r="C14" s="67" t="s">
        <v>33</v>
      </c>
      <c r="D14" s="1"/>
      <c r="F14" s="69" t="s">
        <v>34</v>
      </c>
      <c r="G14">
        <f>G13*7</f>
        <v>17847.123287671235</v>
      </c>
      <c r="I14" s="1"/>
      <c r="J14" s="1" t="s">
        <v>35</v>
      </c>
      <c r="K14" s="1">
        <v>100</v>
      </c>
      <c r="L14" s="1"/>
      <c r="M14" s="1"/>
      <c r="N14" s="1"/>
      <c r="O14" s="1"/>
      <c r="P14" s="1"/>
      <c r="Q14" s="1"/>
      <c r="R14" s="1"/>
      <c r="S14" s="1"/>
      <c r="T14" s="1"/>
      <c r="U14" s="1"/>
    </row>
    <row r="15" spans="1:21" ht="43.2" x14ac:dyDescent="0.55000000000000004">
      <c r="A15" s="1" t="s">
        <v>36</v>
      </c>
      <c r="B15" s="1">
        <v>12</v>
      </c>
      <c r="C15" s="1"/>
      <c r="D15" s="1"/>
      <c r="E15" s="1"/>
      <c r="F15" s="1" t="s">
        <v>37</v>
      </c>
      <c r="G15" s="1">
        <f>G14*G12/10^6</f>
        <v>10.70827397260274</v>
      </c>
      <c r="H15" s="1"/>
      <c r="I15" s="1"/>
      <c r="J15" s="1" t="s">
        <v>38</v>
      </c>
      <c r="K15" s="1">
        <v>3</v>
      </c>
      <c r="L15" s="1" t="s">
        <v>39</v>
      </c>
      <c r="M15" s="1"/>
      <c r="N15" s="1"/>
      <c r="O15" s="1"/>
      <c r="P15" s="1"/>
      <c r="Q15" s="1"/>
      <c r="R15" s="1"/>
      <c r="S15" s="1"/>
      <c r="T15" s="1"/>
      <c r="U15" s="1"/>
    </row>
    <row r="16" spans="1:21" ht="43.2" x14ac:dyDescent="0.55000000000000004">
      <c r="A16" s="1" t="s">
        <v>40</v>
      </c>
      <c r="B16" s="1">
        <f>B15*15000</f>
        <v>180000</v>
      </c>
      <c r="E16" s="1"/>
      <c r="F16" s="1" t="s">
        <v>41</v>
      </c>
      <c r="G16" s="1">
        <v>3</v>
      </c>
      <c r="H16" s="1"/>
      <c r="I16" s="1"/>
      <c r="J16" s="1" t="s">
        <v>42</v>
      </c>
      <c r="K16" s="1">
        <v>225000</v>
      </c>
      <c r="L16" s="1"/>
      <c r="M16" s="1"/>
      <c r="N16" s="1"/>
      <c r="O16" s="1"/>
      <c r="P16" s="1"/>
      <c r="Q16" s="1"/>
      <c r="R16" s="1"/>
      <c r="S16" s="1"/>
      <c r="T16" s="1"/>
      <c r="U16" s="1"/>
    </row>
    <row r="17" spans="1:21" ht="57.6" x14ac:dyDescent="0.55000000000000004">
      <c r="A17" s="33" t="s">
        <v>43</v>
      </c>
      <c r="B17" s="33">
        <f>D13/D12</f>
        <v>17212.415467314026</v>
      </c>
      <c r="C17" s="1"/>
      <c r="D17" s="1"/>
      <c r="E17" s="1"/>
      <c r="F17" s="69" t="s">
        <v>44</v>
      </c>
      <c r="G17" s="1">
        <f>G13/24</f>
        <v>106.23287671232877</v>
      </c>
      <c r="H17" s="1"/>
      <c r="I17" s="1"/>
      <c r="J17" s="1" t="s">
        <v>45</v>
      </c>
      <c r="K17" s="1">
        <f>K16*K15/10^6</f>
        <v>0.67500000000000004</v>
      </c>
      <c r="L17" s="1"/>
      <c r="M17" s="1"/>
      <c r="N17" s="1"/>
      <c r="O17" s="1"/>
      <c r="P17" s="1"/>
      <c r="Q17" s="1"/>
      <c r="R17" s="1"/>
      <c r="S17" s="1"/>
      <c r="T17" s="1"/>
      <c r="U17" s="1"/>
    </row>
    <row r="18" spans="1:21" ht="57.6" x14ac:dyDescent="0.55000000000000004">
      <c r="A18" s="1" t="s">
        <v>46</v>
      </c>
      <c r="B18" s="33">
        <f>B16/B17</f>
        <v>10.457567698259188</v>
      </c>
      <c r="C18" s="1"/>
      <c r="D18" s="1"/>
      <c r="E18" s="1"/>
      <c r="F18" s="1"/>
      <c r="G18" s="1"/>
      <c r="H18" s="1"/>
      <c r="I18" s="1"/>
      <c r="J18" s="1" t="s">
        <v>47</v>
      </c>
      <c r="K18" s="1">
        <f>0.04*K17</f>
        <v>2.7000000000000003E-2</v>
      </c>
      <c r="L18" s="1"/>
      <c r="M18" s="1"/>
      <c r="N18" s="1"/>
      <c r="O18" s="1"/>
      <c r="P18" s="1"/>
      <c r="Q18" s="1"/>
      <c r="R18" s="1"/>
      <c r="S18" s="1"/>
      <c r="T18" s="1"/>
      <c r="U18" s="1"/>
    </row>
    <row r="19" spans="1:21" x14ac:dyDescent="0.55000000000000004">
      <c r="A19" s="1"/>
      <c r="B19" s="1"/>
      <c r="C19" s="1"/>
      <c r="D19" s="1"/>
      <c r="E19" s="1"/>
      <c r="F19" s="1"/>
      <c r="G19" s="1"/>
      <c r="H19" s="1"/>
      <c r="I19" s="1"/>
      <c r="J19" s="1"/>
      <c r="K19" s="1"/>
      <c r="L19" s="1"/>
      <c r="M19" s="1"/>
      <c r="N19" s="1"/>
      <c r="O19" s="1"/>
      <c r="P19" s="1"/>
      <c r="Q19" s="1"/>
      <c r="R19" s="1"/>
      <c r="S19" s="1"/>
      <c r="T19" s="1"/>
      <c r="U19" s="1"/>
    </row>
    <row r="20" spans="1:21" x14ac:dyDescent="0.55000000000000004">
      <c r="A20" s="1"/>
      <c r="B20" s="1"/>
      <c r="C20" s="1"/>
      <c r="D20" s="1"/>
      <c r="E20" s="1"/>
      <c r="F20" s="1"/>
      <c r="G20" s="1"/>
      <c r="H20" s="1"/>
      <c r="I20" s="1"/>
      <c r="J20" s="1"/>
      <c r="K20" s="1"/>
      <c r="L20" s="1"/>
      <c r="M20" s="1"/>
      <c r="N20" s="1"/>
      <c r="O20" s="1"/>
      <c r="P20" s="1"/>
      <c r="Q20" s="1"/>
      <c r="R20" s="1"/>
      <c r="S20" s="1"/>
      <c r="T20" s="1"/>
      <c r="U20" s="1"/>
    </row>
  </sheetData>
  <mergeCells count="2">
    <mergeCell ref="A1:C1"/>
    <mergeCell ref="D1:F1"/>
  </mergeCells>
  <hyperlinks>
    <hyperlink ref="C14" r:id="rId1" xr:uid="{7E883BDB-76D7-42A3-8F8F-C0C4A19C3F82}"/>
    <hyperlink ref="H12" r:id="rId2" xr:uid="{5421C2DF-2B8F-43B5-8190-D0B30BAD1F15}"/>
    <hyperlink ref="K11" r:id="rId3" xr:uid="{CFC81B51-D74E-416B-A83F-8C3AF8047E8B}"/>
  </hyperlinks>
  <pageMargins left="0.7" right="0.7" top="0.75" bottom="0.75" header="0.3" footer="0.3"/>
  <pageSetup paperSize="9" orientation="portrait" verticalDpi="0"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D4051-8F84-494A-BDE4-D2C789D30455}">
  <dimension ref="A1:BF79"/>
  <sheetViews>
    <sheetView tabSelected="1" topLeftCell="A30" zoomScale="74" zoomScaleNormal="100" workbookViewId="0">
      <selection activeCell="D58" sqref="D58"/>
    </sheetView>
  </sheetViews>
  <sheetFormatPr defaultRowHeight="14.4" x14ac:dyDescent="0.55000000000000004"/>
  <cols>
    <col min="1" max="1" width="28.15625" bestFit="1" customWidth="1"/>
    <col min="2" max="2" width="11.20703125" bestFit="1" customWidth="1"/>
    <col min="7" max="7" width="15.83984375" bestFit="1" customWidth="1"/>
    <col min="8" max="8" width="5.7890625" bestFit="1" customWidth="1"/>
    <col min="9" max="9" width="21.89453125" customWidth="1"/>
    <col min="10" max="10" width="16.62890625" bestFit="1" customWidth="1"/>
    <col min="11" max="11" width="45.83984375" bestFit="1" customWidth="1"/>
    <col min="12" max="12" width="19.578125" bestFit="1" customWidth="1"/>
    <col min="13" max="13" width="22.26171875" bestFit="1" customWidth="1"/>
    <col min="14" max="14" width="33.83984375" bestFit="1" customWidth="1"/>
    <col min="15" max="15" width="34.68359375" bestFit="1" customWidth="1"/>
    <col min="16" max="16" width="25.68359375" bestFit="1" customWidth="1"/>
    <col min="17" max="17" width="26.20703125" bestFit="1" customWidth="1"/>
    <col min="18" max="18" width="16.62890625" customWidth="1"/>
    <col min="19" max="21" width="15.05078125" customWidth="1"/>
    <col min="22" max="28" width="17" customWidth="1"/>
    <col min="29" max="29" width="28.83984375" bestFit="1" customWidth="1"/>
    <col min="30" max="30" width="28.9453125" bestFit="1" customWidth="1"/>
    <col min="31" max="31" width="19.5234375" bestFit="1" customWidth="1"/>
    <col min="32" max="32" width="11.578125" bestFit="1" customWidth="1"/>
    <col min="34" max="34" width="12.578125" bestFit="1" customWidth="1"/>
    <col min="35" max="36" width="14.89453125" bestFit="1" customWidth="1"/>
    <col min="37" max="37" width="29.20703125" bestFit="1" customWidth="1"/>
    <col min="38" max="38" width="13.734375" bestFit="1" customWidth="1"/>
    <col min="39" max="39" width="10.578125" bestFit="1" customWidth="1"/>
    <col min="40" max="40" width="10.578125" customWidth="1"/>
    <col min="41" max="43" width="16" bestFit="1" customWidth="1"/>
    <col min="48" max="48" width="12.578125" bestFit="1" customWidth="1"/>
    <col min="49" max="49" width="14.89453125" bestFit="1" customWidth="1"/>
    <col min="50" max="50" width="10.41796875" bestFit="1" customWidth="1"/>
    <col min="52" max="52" width="13.734375" bestFit="1" customWidth="1"/>
    <col min="53" max="53" width="10.05078125" bestFit="1" customWidth="1"/>
    <col min="54" max="54" width="10.578125" bestFit="1" customWidth="1"/>
    <col min="55" max="55" width="10.20703125" customWidth="1"/>
    <col min="56" max="57" width="16" bestFit="1" customWidth="1"/>
  </cols>
  <sheetData>
    <row r="1" spans="1:33" s="222" customFormat="1" ht="26.7" customHeight="1" thickBot="1" x14ac:dyDescent="0.6">
      <c r="A1" s="224" t="s">
        <v>188</v>
      </c>
      <c r="G1" s="225" t="s">
        <v>77</v>
      </c>
      <c r="H1" s="225" t="s">
        <v>78</v>
      </c>
      <c r="I1" s="224" t="s">
        <v>257</v>
      </c>
      <c r="J1" s="224" t="s">
        <v>181</v>
      </c>
      <c r="K1" s="224" t="s">
        <v>79</v>
      </c>
      <c r="L1" s="225" t="s">
        <v>258</v>
      </c>
      <c r="M1" s="225" t="s">
        <v>81</v>
      </c>
      <c r="N1" s="225" t="s">
        <v>82</v>
      </c>
      <c r="O1" s="224" t="s">
        <v>83</v>
      </c>
      <c r="P1" s="225" t="s">
        <v>84</v>
      </c>
      <c r="Q1" s="221" t="s">
        <v>85</v>
      </c>
      <c r="R1" s="340" t="s">
        <v>261</v>
      </c>
      <c r="S1" s="226" t="s">
        <v>342</v>
      </c>
      <c r="T1" s="226" t="s">
        <v>343</v>
      </c>
      <c r="U1" s="226"/>
      <c r="V1" s="226" t="s">
        <v>344</v>
      </c>
      <c r="W1" s="226" t="s">
        <v>94</v>
      </c>
      <c r="X1" s="222" t="s">
        <v>260</v>
      </c>
      <c r="Y1" s="222" t="s">
        <v>297</v>
      </c>
      <c r="Z1" s="227" t="s">
        <v>298</v>
      </c>
      <c r="AA1" s="222" t="s">
        <v>313</v>
      </c>
      <c r="AB1" s="222" t="s">
        <v>295</v>
      </c>
      <c r="AC1" s="222" t="s">
        <v>312</v>
      </c>
      <c r="AD1" s="222" t="s">
        <v>299</v>
      </c>
      <c r="AE1" s="225" t="s">
        <v>293</v>
      </c>
      <c r="AF1" s="227" t="s">
        <v>294</v>
      </c>
      <c r="AG1" s="227" t="s">
        <v>296</v>
      </c>
    </row>
    <row r="2" spans="1:33" ht="14.7" thickBot="1" x14ac:dyDescent="0.6">
      <c r="A2" s="21" t="s">
        <v>171</v>
      </c>
      <c r="B2" s="139">
        <f>'polarization curve'!X17*'contributi LCOH 0,12'!B3/10^6+'output H2 PROVA'!K13*'contributi LCOH 0,12'!B3/10^6</f>
        <v>1.1017995889650625</v>
      </c>
      <c r="G2" s="138">
        <f>B15+B19+B28</f>
        <v>36.657586509675355</v>
      </c>
      <c r="H2" s="40">
        <v>1</v>
      </c>
      <c r="I2" s="174">
        <f>$B$2</f>
        <v>1.1017995889650625</v>
      </c>
      <c r="J2" s="174">
        <f>$B$25</f>
        <v>0.19865671272529209</v>
      </c>
      <c r="K2" s="122">
        <f>$B$20+$B$29+$B$25</f>
        <v>0.2222961161024436</v>
      </c>
      <c r="L2" s="124">
        <f>$B$12</f>
        <v>0.82171640263643531</v>
      </c>
      <c r="M2" s="60"/>
      <c r="N2" s="40"/>
      <c r="O2" s="57">
        <f>'polarization curve'!$AB$17</f>
        <v>338619.39669083874</v>
      </c>
      <c r="P2" s="179">
        <f>G2+K2+L2+M2+N2+I2</f>
        <v>38.803398617379294</v>
      </c>
      <c r="Q2" s="40">
        <f>O2</f>
        <v>338619.39669083874</v>
      </c>
      <c r="R2" s="341"/>
      <c r="S2" s="177">
        <f t="shared" ref="S2:S22" si="0">(K2+L2)/(1+0.04)^H2</f>
        <v>1.0038581910950759</v>
      </c>
      <c r="T2" s="177">
        <f t="shared" ref="T2:T22" si="1">(I2)/(1+0.04)^H2</f>
        <v>1.0594226816971755</v>
      </c>
      <c r="U2" s="177"/>
      <c r="V2" s="177">
        <f t="shared" ref="V2:V22" si="2">SUM(S2:T2)</f>
        <v>2.0632808727922516</v>
      </c>
      <c r="W2" s="169">
        <f t="shared" ref="W2:W22" si="3">(I2+K2+L2)/(1+0.04)^H2</f>
        <v>2.0632808727922511</v>
      </c>
      <c r="X2" s="177">
        <f>SUM(W2:W22)</f>
        <v>30.103941275368697</v>
      </c>
      <c r="Y2" s="177">
        <f>G2+N12+M22</f>
        <v>46.618376525532057</v>
      </c>
      <c r="Z2" s="207">
        <f>(Y2+X2)*10^6/Q22</f>
        <v>10.789233400413885</v>
      </c>
      <c r="AA2" s="177">
        <f>G2</f>
        <v>36.657586509675355</v>
      </c>
      <c r="AB2" s="177">
        <f>(I2+K2+L2+M2+N2)/((1+0.04)^H2)</f>
        <v>2.0632808727922511</v>
      </c>
      <c r="AC2" s="177">
        <f>SUM(AB2:AB22)</f>
        <v>35.874543901301465</v>
      </c>
      <c r="AD2" s="112">
        <f t="shared" ref="AD2:AD22" si="4">($Q$2)/((1+0.04)^H2)</f>
        <v>325595.57374119107</v>
      </c>
      <c r="AE2" s="112">
        <f>SUM(AD2:AD22)</f>
        <v>4750545.6773609668</v>
      </c>
      <c r="AF2" s="208">
        <f>(AC2+AA2)*10^6/AE2</f>
        <v>15.268168193105348</v>
      </c>
      <c r="AG2" s="66">
        <f>(AA2+AC2)*10^6/(Q22)</f>
        <v>10.199979699050477</v>
      </c>
    </row>
    <row r="3" spans="1:33" ht="14.7" thickBot="1" x14ac:dyDescent="0.6">
      <c r="A3" s="16" t="s">
        <v>255</v>
      </c>
      <c r="B3" s="13">
        <v>120</v>
      </c>
      <c r="D3">
        <v>1</v>
      </c>
      <c r="E3">
        <v>2</v>
      </c>
      <c r="F3">
        <v>3</v>
      </c>
      <c r="H3" s="40">
        <v>2</v>
      </c>
      <c r="I3" s="174">
        <f t="shared" ref="I3:I22" si="5">$B$2</f>
        <v>1.1017995889650625</v>
      </c>
      <c r="J3" s="174">
        <f t="shared" ref="J3:J22" si="6">$B$25</f>
        <v>0.19865671272529209</v>
      </c>
      <c r="K3" s="146">
        <f t="shared" ref="K3:K22" si="7">$B$20+$B$29+$B$25</f>
        <v>0.2222961161024436</v>
      </c>
      <c r="L3" s="124">
        <f t="shared" ref="L3:L22" si="8">$B$12</f>
        <v>0.82171640263643531</v>
      </c>
      <c r="M3" s="60"/>
      <c r="N3" s="40"/>
      <c r="O3" s="60">
        <f>'polarization curve'!$AB$17</f>
        <v>338619.39669083874</v>
      </c>
      <c r="P3" s="179">
        <f t="shared" ref="P3:P22" si="9">P2+K3+L3+M3+N3+I3</f>
        <v>40.949210725083233</v>
      </c>
      <c r="Q3" s="40">
        <f>O3+Q2</f>
        <v>677238.79338167747</v>
      </c>
      <c r="R3" s="341"/>
      <c r="S3" s="177">
        <f t="shared" si="0"/>
        <v>0.96524826066834213</v>
      </c>
      <c r="T3" s="177">
        <f t="shared" si="1"/>
        <v>1.0186756554780532</v>
      </c>
      <c r="U3" s="177"/>
      <c r="V3" s="177">
        <f t="shared" si="2"/>
        <v>1.9839239161463953</v>
      </c>
      <c r="W3" s="169">
        <f t="shared" si="3"/>
        <v>1.9839239161463951</v>
      </c>
      <c r="X3" s="177"/>
      <c r="Y3" s="177"/>
      <c r="Z3" s="177"/>
      <c r="AA3" s="177"/>
      <c r="AB3" s="177">
        <f t="shared" ref="AB3:AB21" si="10">(I3+K3+L3+M3+N3)/((1+0.04)^H3)</f>
        <v>1.9839239161463951</v>
      </c>
      <c r="AC3" s="177"/>
      <c r="AD3" s="112">
        <f t="shared" si="4"/>
        <v>313072.66705883754</v>
      </c>
    </row>
    <row r="4" spans="1:33" x14ac:dyDescent="0.55000000000000004">
      <c r="D4" s="204">
        <f>Z2</f>
        <v>10.789233400413885</v>
      </c>
      <c r="E4">
        <f>AF2</f>
        <v>15.268168193105348</v>
      </c>
      <c r="F4">
        <f>AG2</f>
        <v>10.199979699050477</v>
      </c>
      <c r="H4" s="40">
        <v>3</v>
      </c>
      <c r="I4" s="174">
        <f t="shared" si="5"/>
        <v>1.1017995889650625</v>
      </c>
      <c r="J4" s="174">
        <f t="shared" si="6"/>
        <v>0.19865671272529209</v>
      </c>
      <c r="K4" s="146">
        <f t="shared" si="7"/>
        <v>0.2222961161024436</v>
      </c>
      <c r="L4" s="124">
        <f t="shared" si="8"/>
        <v>0.82171640263643531</v>
      </c>
      <c r="M4" s="60"/>
      <c r="N4" s="40"/>
      <c r="O4" s="60">
        <f>'polarization curve'!$AB$17</f>
        <v>338619.39669083874</v>
      </c>
      <c r="P4" s="179">
        <f t="shared" si="9"/>
        <v>43.095022832787173</v>
      </c>
      <c r="Q4" s="40">
        <f>O4+Q3</f>
        <v>1015858.1900725162</v>
      </c>
      <c r="R4" s="341"/>
      <c r="S4" s="177">
        <f t="shared" si="0"/>
        <v>0.92812332756571359</v>
      </c>
      <c r="T4" s="177">
        <f t="shared" si="1"/>
        <v>0.97949582257505119</v>
      </c>
      <c r="U4" s="177"/>
      <c r="V4" s="177">
        <f t="shared" si="2"/>
        <v>1.9076191501407647</v>
      </c>
      <c r="W4" s="169">
        <f t="shared" si="3"/>
        <v>1.9076191501407647</v>
      </c>
      <c r="X4" s="177"/>
      <c r="Y4" s="177"/>
      <c r="Z4" s="177"/>
      <c r="AA4" s="177"/>
      <c r="AB4" s="177">
        <f t="shared" si="10"/>
        <v>1.9076191501407647</v>
      </c>
      <c r="AC4" s="177"/>
      <c r="AD4" s="112">
        <f t="shared" si="4"/>
        <v>301031.41063349764</v>
      </c>
    </row>
    <row r="5" spans="1:33" x14ac:dyDescent="0.55000000000000004">
      <c r="A5" t="s">
        <v>302</v>
      </c>
      <c r="B5">
        <f>'polarization curve'!X17*1000</f>
        <v>8233528.9306411725</v>
      </c>
      <c r="C5">
        <f>B5/O2</f>
        <v>24.314994979919675</v>
      </c>
      <c r="H5" s="40">
        <v>4</v>
      </c>
      <c r="I5" s="174">
        <f t="shared" si="5"/>
        <v>1.1017995889650625</v>
      </c>
      <c r="J5" s="174">
        <f t="shared" si="6"/>
        <v>0.19865671272529209</v>
      </c>
      <c r="K5" s="146">
        <f t="shared" si="7"/>
        <v>0.2222961161024436</v>
      </c>
      <c r="L5" s="124">
        <f t="shared" si="8"/>
        <v>0.82171640263643531</v>
      </c>
      <c r="M5" s="60"/>
      <c r="N5" s="40"/>
      <c r="O5" s="60">
        <f>'polarization curve'!$AB$17</f>
        <v>338619.39669083874</v>
      </c>
      <c r="P5" s="179">
        <f t="shared" si="9"/>
        <v>45.240834940491112</v>
      </c>
      <c r="Q5" s="40">
        <f t="shared" ref="Q5:Q22" si="11">O5+Q4</f>
        <v>1354477.5867633549</v>
      </c>
      <c r="R5" s="341"/>
      <c r="S5" s="177">
        <f t="shared" si="0"/>
        <v>0.89242627650549367</v>
      </c>
      <c r="T5" s="177">
        <f t="shared" si="1"/>
        <v>0.94182290632216448</v>
      </c>
      <c r="U5" s="177"/>
      <c r="V5" s="177">
        <f t="shared" si="2"/>
        <v>1.8342491828276581</v>
      </c>
      <c r="W5" s="169">
        <f t="shared" si="3"/>
        <v>1.8342491828276581</v>
      </c>
      <c r="X5" s="177"/>
      <c r="Y5" s="177"/>
      <c r="Z5" s="177"/>
      <c r="AA5" s="177"/>
      <c r="AB5" s="177">
        <f t="shared" si="10"/>
        <v>1.8342491828276581</v>
      </c>
      <c r="AC5" s="177"/>
      <c r="AD5" s="112">
        <f t="shared" si="4"/>
        <v>289453.27945528616</v>
      </c>
    </row>
    <row r="6" spans="1:33" x14ac:dyDescent="0.55000000000000004">
      <c r="H6" s="40">
        <v>5</v>
      </c>
      <c r="I6" s="174">
        <f t="shared" si="5"/>
        <v>1.1017995889650625</v>
      </c>
      <c r="J6" s="174">
        <f t="shared" si="6"/>
        <v>0.19865671272529209</v>
      </c>
      <c r="K6" s="146">
        <f t="shared" si="7"/>
        <v>0.2222961161024436</v>
      </c>
      <c r="L6" s="124">
        <f t="shared" si="8"/>
        <v>0.82171640263643531</v>
      </c>
      <c r="M6" s="60"/>
      <c r="N6" s="40"/>
      <c r="O6" s="60">
        <f>'polarization curve'!$AB$17</f>
        <v>338619.39669083874</v>
      </c>
      <c r="P6" s="179">
        <f t="shared" si="9"/>
        <v>47.386647048195051</v>
      </c>
      <c r="Q6" s="40">
        <f t="shared" si="11"/>
        <v>1693096.9834541937</v>
      </c>
      <c r="R6" s="341"/>
      <c r="S6" s="177">
        <f t="shared" si="0"/>
        <v>0.85810218894759005</v>
      </c>
      <c r="T6" s="177">
        <f t="shared" si="1"/>
        <v>0.90559894838669652</v>
      </c>
      <c r="U6" s="177"/>
      <c r="V6" s="177">
        <f t="shared" si="2"/>
        <v>1.7637011373342866</v>
      </c>
      <c r="W6" s="169">
        <f t="shared" si="3"/>
        <v>1.7637011373342864</v>
      </c>
      <c r="X6" s="177"/>
      <c r="Y6" s="177"/>
      <c r="Z6" s="177"/>
      <c r="AA6" s="177"/>
      <c r="AB6" s="177">
        <f t="shared" si="10"/>
        <v>1.7637011373342864</v>
      </c>
      <c r="AC6" s="177"/>
      <c r="AD6" s="112">
        <f t="shared" si="4"/>
        <v>278320.4610146982</v>
      </c>
    </row>
    <row r="7" spans="1:33" x14ac:dyDescent="0.55000000000000004">
      <c r="H7" s="40">
        <v>6</v>
      </c>
      <c r="I7" s="174">
        <f t="shared" si="5"/>
        <v>1.1017995889650625</v>
      </c>
      <c r="J7" s="174">
        <f t="shared" si="6"/>
        <v>0.19865671272529209</v>
      </c>
      <c r="K7" s="146">
        <f t="shared" si="7"/>
        <v>0.2222961161024436</v>
      </c>
      <c r="L7" s="124">
        <f t="shared" si="8"/>
        <v>0.82171640263643531</v>
      </c>
      <c r="M7" s="60"/>
      <c r="N7" s="40"/>
      <c r="O7" s="60">
        <f>'polarization curve'!$AB$17</f>
        <v>338619.39669083874</v>
      </c>
      <c r="P7" s="179">
        <f t="shared" si="9"/>
        <v>49.532459155898991</v>
      </c>
      <c r="Q7" s="40">
        <f t="shared" si="11"/>
        <v>2031716.3801450324</v>
      </c>
      <c r="R7" s="341"/>
      <c r="S7" s="177">
        <f t="shared" si="0"/>
        <v>0.82509825860345198</v>
      </c>
      <c r="T7" s="177">
        <f t="shared" si="1"/>
        <v>0.87076821960259287</v>
      </c>
      <c r="U7" s="177"/>
      <c r="V7" s="177">
        <f t="shared" si="2"/>
        <v>1.6958664782060449</v>
      </c>
      <c r="W7" s="169">
        <f t="shared" si="3"/>
        <v>1.6958664782060446</v>
      </c>
      <c r="X7" s="177"/>
      <c r="Y7" s="177"/>
      <c r="Z7" s="177"/>
      <c r="AA7" s="177"/>
      <c r="AB7" s="177">
        <f t="shared" si="10"/>
        <v>1.6958664782060446</v>
      </c>
      <c r="AC7" s="177"/>
      <c r="AD7" s="112">
        <f t="shared" si="4"/>
        <v>267615.82789874828</v>
      </c>
    </row>
    <row r="8" spans="1:33" x14ac:dyDescent="0.55000000000000004">
      <c r="H8" s="40">
        <v>7</v>
      </c>
      <c r="I8" s="174">
        <f t="shared" si="5"/>
        <v>1.1017995889650625</v>
      </c>
      <c r="J8" s="174">
        <f t="shared" si="6"/>
        <v>0.19865671272529209</v>
      </c>
      <c r="K8" s="146">
        <f t="shared" si="7"/>
        <v>0.2222961161024436</v>
      </c>
      <c r="L8" s="124">
        <f t="shared" si="8"/>
        <v>0.82171640263643531</v>
      </c>
      <c r="M8" s="60"/>
      <c r="N8" s="40"/>
      <c r="O8" s="60">
        <f>'polarization curve'!$AB$17</f>
        <v>338619.39669083874</v>
      </c>
      <c r="P8" s="179">
        <f t="shared" si="9"/>
        <v>51.67827126360293</v>
      </c>
      <c r="Q8" s="40">
        <f t="shared" si="11"/>
        <v>2370335.7768358709</v>
      </c>
      <c r="R8" s="341"/>
      <c r="S8" s="177">
        <f t="shared" si="0"/>
        <v>0.7933637101956269</v>
      </c>
      <c r="T8" s="177">
        <f t="shared" si="1"/>
        <v>0.83727713423326244</v>
      </c>
      <c r="U8" s="177"/>
      <c r="V8" s="177">
        <f t="shared" si="2"/>
        <v>1.6306408444288893</v>
      </c>
      <c r="W8" s="169">
        <f t="shared" si="3"/>
        <v>1.6306408444288891</v>
      </c>
      <c r="X8" s="177"/>
      <c r="Y8" s="177"/>
      <c r="Z8" s="177"/>
      <c r="AA8" s="177"/>
      <c r="AB8" s="177">
        <f t="shared" si="10"/>
        <v>1.6306408444288891</v>
      </c>
      <c r="AC8" s="177"/>
      <c r="AD8" s="112">
        <f t="shared" si="4"/>
        <v>257322.91144110414</v>
      </c>
    </row>
    <row r="9" spans="1:33" x14ac:dyDescent="0.55000000000000004">
      <c r="H9" s="40">
        <v>8</v>
      </c>
      <c r="I9" s="174">
        <f t="shared" si="5"/>
        <v>1.1017995889650625</v>
      </c>
      <c r="J9" s="174">
        <f t="shared" si="6"/>
        <v>0.19865671272529209</v>
      </c>
      <c r="K9" s="146">
        <f t="shared" si="7"/>
        <v>0.2222961161024436</v>
      </c>
      <c r="L9" s="124">
        <f t="shared" si="8"/>
        <v>0.82171640263643531</v>
      </c>
      <c r="M9" s="60"/>
      <c r="N9" s="40"/>
      <c r="O9" s="60">
        <f>'polarization curve'!$AB$17</f>
        <v>338619.39669083874</v>
      </c>
      <c r="P9" s="179">
        <f t="shared" si="9"/>
        <v>53.82408337130687</v>
      </c>
      <c r="Q9" s="40">
        <f t="shared" si="11"/>
        <v>2708955.1735267099</v>
      </c>
      <c r="R9" s="341"/>
      <c r="S9" s="177">
        <f t="shared" si="0"/>
        <v>0.76284972134194884</v>
      </c>
      <c r="T9" s="177">
        <f t="shared" si="1"/>
        <v>0.80507416753198291</v>
      </c>
      <c r="U9" s="177"/>
      <c r="V9" s="177">
        <f t="shared" si="2"/>
        <v>1.5679238888739317</v>
      </c>
      <c r="W9" s="169">
        <f t="shared" si="3"/>
        <v>1.5679238888739317</v>
      </c>
      <c r="X9" s="177"/>
      <c r="Y9" s="177"/>
      <c r="Z9" s="177"/>
      <c r="AA9" s="177"/>
      <c r="AB9" s="177">
        <f t="shared" si="10"/>
        <v>1.5679238888739317</v>
      </c>
      <c r="AC9" s="177"/>
      <c r="AD9" s="112">
        <f t="shared" si="4"/>
        <v>247425.87638567702</v>
      </c>
    </row>
    <row r="10" spans="1:33" ht="14.7" thickBot="1" x14ac:dyDescent="0.6">
      <c r="H10" s="40">
        <v>9</v>
      </c>
      <c r="I10" s="174">
        <f t="shared" si="5"/>
        <v>1.1017995889650625</v>
      </c>
      <c r="J10" s="174">
        <f t="shared" si="6"/>
        <v>0.19865671272529209</v>
      </c>
      <c r="K10" s="146">
        <f t="shared" si="7"/>
        <v>0.2222961161024436</v>
      </c>
      <c r="L10" s="124">
        <f t="shared" si="8"/>
        <v>0.82171640263643531</v>
      </c>
      <c r="M10" s="60"/>
      <c r="N10" s="40"/>
      <c r="O10" s="60">
        <f>'polarization curve'!$AB$17</f>
        <v>338619.39669083874</v>
      </c>
      <c r="P10" s="179">
        <f t="shared" si="9"/>
        <v>55.969895479010809</v>
      </c>
      <c r="Q10" s="40">
        <f t="shared" si="11"/>
        <v>3047574.5702175489</v>
      </c>
      <c r="R10" s="341"/>
      <c r="S10" s="177">
        <f t="shared" si="0"/>
        <v>0.7335093474441815</v>
      </c>
      <c r="T10" s="177">
        <f t="shared" si="1"/>
        <v>0.77410977647306045</v>
      </c>
      <c r="U10" s="177"/>
      <c r="V10" s="177">
        <f t="shared" si="2"/>
        <v>1.5076191239172418</v>
      </c>
      <c r="W10" s="169">
        <f t="shared" si="3"/>
        <v>1.5076191239172418</v>
      </c>
      <c r="X10" s="177"/>
      <c r="Y10" s="177"/>
      <c r="Z10" s="177"/>
      <c r="AA10" s="177"/>
      <c r="AB10" s="177">
        <f t="shared" si="10"/>
        <v>1.5076191239172418</v>
      </c>
      <c r="AC10" s="177"/>
      <c r="AD10" s="112">
        <f t="shared" si="4"/>
        <v>237909.49652468943</v>
      </c>
    </row>
    <row r="11" spans="1:33" ht="14.7" thickBot="1" x14ac:dyDescent="0.6">
      <c r="A11" s="116" t="s">
        <v>90</v>
      </c>
      <c r="H11" s="40">
        <v>10</v>
      </c>
      <c r="I11" s="174">
        <f t="shared" si="5"/>
        <v>1.1017995889650625</v>
      </c>
      <c r="J11" s="174">
        <f t="shared" si="6"/>
        <v>0.19865671272529209</v>
      </c>
      <c r="K11" s="146">
        <f t="shared" si="7"/>
        <v>0.2222961161024436</v>
      </c>
      <c r="L11" s="124">
        <f t="shared" si="8"/>
        <v>0.82171640263643531</v>
      </c>
      <c r="M11" s="60"/>
      <c r="N11" s="40"/>
      <c r="O11" s="60">
        <f>'polarization curve'!$AB$17</f>
        <v>338619.39669083874</v>
      </c>
      <c r="P11" s="179">
        <f t="shared" si="9"/>
        <v>58.115707586714748</v>
      </c>
      <c r="Q11" s="40">
        <f t="shared" si="11"/>
        <v>3386193.9669083878</v>
      </c>
      <c r="R11" s="341"/>
      <c r="S11" s="177">
        <f t="shared" si="0"/>
        <v>0.70529744946555917</v>
      </c>
      <c r="T11" s="177">
        <f t="shared" si="1"/>
        <v>0.74433632353178891</v>
      </c>
      <c r="U11" s="177"/>
      <c r="V11" s="177">
        <f t="shared" si="2"/>
        <v>1.4496337729973481</v>
      </c>
      <c r="W11" s="169">
        <f t="shared" si="3"/>
        <v>1.4496337729973479</v>
      </c>
      <c r="X11" s="177"/>
      <c r="Y11" s="177"/>
      <c r="Z11" s="177"/>
      <c r="AA11" s="177"/>
      <c r="AB11" s="177">
        <f t="shared" si="10"/>
        <v>1.4496337729973479</v>
      </c>
      <c r="AC11" s="177"/>
      <c r="AD11" s="112">
        <f t="shared" si="4"/>
        <v>228759.13127373983</v>
      </c>
    </row>
    <row r="12" spans="1:33" ht="14.7" thickBot="1" x14ac:dyDescent="0.6">
      <c r="A12" s="16" t="s">
        <v>314</v>
      </c>
      <c r="B12" s="138">
        <f>'output H2 PROVA'!B12*'output H2 PROVA'!B13/10^6</f>
        <v>0.82171640263643531</v>
      </c>
      <c r="H12" s="40">
        <v>11</v>
      </c>
      <c r="I12" s="174">
        <f t="shared" si="5"/>
        <v>1.1017995889650625</v>
      </c>
      <c r="J12" s="174">
        <f t="shared" si="6"/>
        <v>0.19865671272529209</v>
      </c>
      <c r="K12" s="146">
        <f t="shared" si="7"/>
        <v>0.2222961161024436</v>
      </c>
      <c r="L12" s="124">
        <f t="shared" si="8"/>
        <v>0.82171640263643531</v>
      </c>
      <c r="M12" s="60"/>
      <c r="N12" s="40">
        <f>B31</f>
        <v>6.6405266772378013</v>
      </c>
      <c r="O12" s="60">
        <f>'polarization curve'!$AB$17</f>
        <v>338619.39669083874</v>
      </c>
      <c r="P12" s="179">
        <f t="shared" si="9"/>
        <v>66.902046371656496</v>
      </c>
      <c r="Q12" s="40">
        <f t="shared" si="11"/>
        <v>3724813.3635992268</v>
      </c>
      <c r="R12" s="341"/>
      <c r="S12" s="177">
        <f t="shared" si="0"/>
        <v>0.67817062448611465</v>
      </c>
      <c r="T12" s="177">
        <f t="shared" si="1"/>
        <v>0.71570800339595098</v>
      </c>
      <c r="U12" s="177"/>
      <c r="V12" s="177">
        <f t="shared" si="2"/>
        <v>1.3938786278820656</v>
      </c>
      <c r="W12" s="169">
        <f t="shared" si="3"/>
        <v>1.3938786278820654</v>
      </c>
      <c r="X12" s="177"/>
      <c r="Y12" s="177"/>
      <c r="Z12" s="177"/>
      <c r="AA12" s="177"/>
      <c r="AB12" s="177">
        <f>(I12+K12+L12+M12+N12)/((1+0.04)^H12)</f>
        <v>5.7074381329529285</v>
      </c>
      <c r="AC12" s="177"/>
      <c r="AD12" s="112">
        <f t="shared" si="4"/>
        <v>219960.70314782677</v>
      </c>
    </row>
    <row r="13" spans="1:33" ht="14.7" thickBot="1" x14ac:dyDescent="0.6">
      <c r="H13" s="40">
        <v>12</v>
      </c>
      <c r="I13" s="174">
        <f t="shared" si="5"/>
        <v>1.1017995889650625</v>
      </c>
      <c r="J13" s="174">
        <f t="shared" si="6"/>
        <v>0.19865671272529209</v>
      </c>
      <c r="K13" s="146">
        <f t="shared" si="7"/>
        <v>0.2222961161024436</v>
      </c>
      <c r="L13" s="124">
        <f t="shared" si="8"/>
        <v>0.82171640263643531</v>
      </c>
      <c r="M13" s="60"/>
      <c r="N13" s="40"/>
      <c r="O13" s="60">
        <f>'polarization curve'!$AB$17</f>
        <v>338619.39669083874</v>
      </c>
      <c r="P13" s="179">
        <f t="shared" si="9"/>
        <v>69.047858479360443</v>
      </c>
      <c r="Q13" s="40">
        <f t="shared" si="11"/>
        <v>4063432.7602900658</v>
      </c>
      <c r="R13" s="341"/>
      <c r="S13" s="177">
        <f t="shared" si="0"/>
        <v>0.6520871389289562</v>
      </c>
      <c r="T13" s="177">
        <f t="shared" si="1"/>
        <v>0.68818077249610654</v>
      </c>
      <c r="U13" s="177"/>
      <c r="V13" s="177">
        <f t="shared" si="2"/>
        <v>1.3402679114250629</v>
      </c>
      <c r="W13" s="169">
        <f t="shared" si="3"/>
        <v>1.3402679114250626</v>
      </c>
      <c r="X13" s="177"/>
      <c r="Y13" s="177"/>
      <c r="Z13" s="177"/>
      <c r="AA13" s="177"/>
      <c r="AB13" s="177">
        <f t="shared" si="10"/>
        <v>1.3402679114250626</v>
      </c>
      <c r="AC13" s="177"/>
      <c r="AD13" s="112">
        <f t="shared" si="4"/>
        <v>211500.67610367955</v>
      </c>
    </row>
    <row r="14" spans="1:33" ht="14.7" thickBot="1" x14ac:dyDescent="0.6">
      <c r="A14" s="116" t="s">
        <v>92</v>
      </c>
      <c r="H14" s="40">
        <v>13</v>
      </c>
      <c r="I14" s="174">
        <f t="shared" si="5"/>
        <v>1.1017995889650625</v>
      </c>
      <c r="J14" s="174">
        <f t="shared" si="6"/>
        <v>0.19865671272529209</v>
      </c>
      <c r="K14" s="146">
        <f t="shared" si="7"/>
        <v>0.2222961161024436</v>
      </c>
      <c r="L14" s="124">
        <f t="shared" si="8"/>
        <v>0.82171640263643531</v>
      </c>
      <c r="M14" s="60"/>
      <c r="N14" s="40"/>
      <c r="O14" s="60">
        <f>'polarization curve'!$AB$17</f>
        <v>338619.39669083874</v>
      </c>
      <c r="P14" s="179">
        <f t="shared" si="9"/>
        <v>71.193670587064389</v>
      </c>
      <c r="Q14" s="40">
        <f t="shared" si="11"/>
        <v>4402052.1569809048</v>
      </c>
      <c r="R14" s="341"/>
      <c r="S14" s="177">
        <f t="shared" si="0"/>
        <v>0.6270068643547656</v>
      </c>
      <c r="T14" s="177">
        <f t="shared" si="1"/>
        <v>0.66171228124625625</v>
      </c>
      <c r="U14" s="177"/>
      <c r="V14" s="177">
        <f t="shared" si="2"/>
        <v>1.2887191456010219</v>
      </c>
      <c r="W14" s="169">
        <f t="shared" si="3"/>
        <v>1.2887191456010216</v>
      </c>
      <c r="X14" s="177"/>
      <c r="Y14" s="177"/>
      <c r="Z14" s="177"/>
      <c r="AA14" s="177"/>
      <c r="AB14" s="177">
        <f t="shared" si="10"/>
        <v>1.2887191456010216</v>
      </c>
      <c r="AC14" s="177"/>
      <c r="AD14" s="112">
        <f t="shared" si="4"/>
        <v>203366.03471507647</v>
      </c>
    </row>
    <row r="15" spans="1:33" x14ac:dyDescent="0.55000000000000004">
      <c r="A15" s="7" t="s">
        <v>93</v>
      </c>
      <c r="B15" s="135">
        <f>'output H2 PROVA'!B15*'output H2 PROVA'!B14</f>
        <v>0.22177999999999998</v>
      </c>
      <c r="H15" s="40">
        <v>14</v>
      </c>
      <c r="I15" s="174">
        <f t="shared" si="5"/>
        <v>1.1017995889650625</v>
      </c>
      <c r="J15" s="174">
        <f t="shared" si="6"/>
        <v>0.19865671272529209</v>
      </c>
      <c r="K15" s="146">
        <f t="shared" si="7"/>
        <v>0.2222961161024436</v>
      </c>
      <c r="L15" s="124">
        <f t="shared" si="8"/>
        <v>0.82171640263643531</v>
      </c>
      <c r="M15" s="60"/>
      <c r="N15" s="40"/>
      <c r="O15" s="60">
        <f>'polarization curve'!$AB$17</f>
        <v>338619.39669083874</v>
      </c>
      <c r="P15" s="179">
        <f t="shared" si="9"/>
        <v>73.339482694768336</v>
      </c>
      <c r="Q15" s="40">
        <f t="shared" si="11"/>
        <v>4740671.5536717437</v>
      </c>
      <c r="R15" s="341"/>
      <c r="S15" s="177">
        <f t="shared" si="0"/>
        <v>0.60289121572573612</v>
      </c>
      <c r="T15" s="177">
        <f t="shared" si="1"/>
        <v>0.636261808890631</v>
      </c>
      <c r="U15" s="177"/>
      <c r="V15" s="177">
        <f t="shared" si="2"/>
        <v>1.2391530246163671</v>
      </c>
      <c r="W15" s="169">
        <f t="shared" si="3"/>
        <v>1.2391530246163671</v>
      </c>
      <c r="X15" s="177"/>
      <c r="Y15" s="177"/>
      <c r="Z15" s="177"/>
      <c r="AA15" s="177"/>
      <c r="AB15" s="177">
        <f t="shared" si="10"/>
        <v>1.2391530246163671</v>
      </c>
      <c r="AC15" s="177"/>
      <c r="AD15" s="112">
        <f t="shared" si="4"/>
        <v>195544.26414911202</v>
      </c>
    </row>
    <row r="16" spans="1:33" ht="14.7" thickBot="1" x14ac:dyDescent="0.6">
      <c r="A16" s="16" t="s">
        <v>94</v>
      </c>
      <c r="B16" s="16"/>
      <c r="H16" s="40">
        <v>15</v>
      </c>
      <c r="I16" s="174">
        <f t="shared" si="5"/>
        <v>1.1017995889650625</v>
      </c>
      <c r="J16" s="174">
        <f t="shared" si="6"/>
        <v>0.19865671272529209</v>
      </c>
      <c r="K16" s="146">
        <f t="shared" si="7"/>
        <v>0.2222961161024436</v>
      </c>
      <c r="L16" s="124">
        <f t="shared" si="8"/>
        <v>0.82171640263643531</v>
      </c>
      <c r="M16" s="60"/>
      <c r="N16" s="40"/>
      <c r="O16" s="60">
        <f>'polarization curve'!$AB$17</f>
        <v>338619.39669083874</v>
      </c>
      <c r="P16" s="179">
        <f t="shared" si="9"/>
        <v>75.485294802472282</v>
      </c>
      <c r="Q16" s="40">
        <f t="shared" si="11"/>
        <v>5079290.9503625827</v>
      </c>
      <c r="R16" s="341"/>
      <c r="S16" s="177">
        <f t="shared" si="0"/>
        <v>0.57970309204397708</v>
      </c>
      <c r="T16" s="177">
        <f t="shared" si="1"/>
        <v>0.61179020085637603</v>
      </c>
      <c r="U16" s="177"/>
      <c r="V16" s="177">
        <f t="shared" si="2"/>
        <v>1.1914932929003532</v>
      </c>
      <c r="W16" s="169">
        <f t="shared" si="3"/>
        <v>1.191493292900353</v>
      </c>
      <c r="X16" s="177"/>
      <c r="Y16" s="177"/>
      <c r="Z16" s="177"/>
      <c r="AA16" s="177"/>
      <c r="AB16" s="177">
        <f t="shared" si="10"/>
        <v>1.191493292900353</v>
      </c>
      <c r="AC16" s="177"/>
      <c r="AD16" s="112">
        <f t="shared" si="4"/>
        <v>188023.33091260769</v>
      </c>
    </row>
    <row r="17" spans="1:43" ht="14.7" thickBot="1" x14ac:dyDescent="0.6">
      <c r="H17" s="40">
        <v>16</v>
      </c>
      <c r="I17" s="174">
        <f t="shared" si="5"/>
        <v>1.1017995889650625</v>
      </c>
      <c r="J17" s="174">
        <f t="shared" si="6"/>
        <v>0.19865671272529209</v>
      </c>
      <c r="K17" s="146">
        <f t="shared" si="7"/>
        <v>0.2222961161024436</v>
      </c>
      <c r="L17" s="124">
        <f t="shared" si="8"/>
        <v>0.82171640263643531</v>
      </c>
      <c r="M17" s="60"/>
      <c r="N17" s="40"/>
      <c r="O17" s="60">
        <f>'polarization curve'!$AB$17</f>
        <v>338619.39669083874</v>
      </c>
      <c r="P17" s="179">
        <f t="shared" si="9"/>
        <v>77.631106910176229</v>
      </c>
      <c r="Q17" s="40">
        <f t="shared" si="11"/>
        <v>5417910.3470534217</v>
      </c>
      <c r="R17" s="341"/>
      <c r="S17" s="177">
        <f t="shared" si="0"/>
        <v>0.5574068192730548</v>
      </c>
      <c r="T17" s="177">
        <f t="shared" si="1"/>
        <v>0.588259808515746</v>
      </c>
      <c r="U17" s="177"/>
      <c r="V17" s="177">
        <f t="shared" si="2"/>
        <v>1.1456666277888008</v>
      </c>
      <c r="W17" s="169">
        <f t="shared" si="3"/>
        <v>1.1456666277888008</v>
      </c>
      <c r="X17" s="177"/>
      <c r="Y17" s="177"/>
      <c r="Z17" s="177"/>
      <c r="AA17" s="177"/>
      <c r="AB17" s="177">
        <f t="shared" si="10"/>
        <v>1.1456666277888008</v>
      </c>
      <c r="AC17" s="177"/>
      <c r="AD17" s="112">
        <f t="shared" si="4"/>
        <v>180791.66433904585</v>
      </c>
    </row>
    <row r="18" spans="1:43" ht="14.7" thickBot="1" x14ac:dyDescent="0.6">
      <c r="A18" s="116" t="s">
        <v>96</v>
      </c>
      <c r="H18" s="40">
        <v>17</v>
      </c>
      <c r="I18" s="174">
        <f t="shared" si="5"/>
        <v>1.1017995889650625</v>
      </c>
      <c r="J18" s="174">
        <f t="shared" si="6"/>
        <v>0.19865671272529209</v>
      </c>
      <c r="K18" s="146">
        <f t="shared" si="7"/>
        <v>0.2222961161024436</v>
      </c>
      <c r="L18" s="124">
        <f t="shared" si="8"/>
        <v>0.82171640263643531</v>
      </c>
      <c r="M18" s="60"/>
      <c r="N18" s="40"/>
      <c r="O18" s="60">
        <f>'polarization curve'!$AB$17</f>
        <v>338619.39669083874</v>
      </c>
      <c r="P18" s="179">
        <f t="shared" si="9"/>
        <v>79.776919017880175</v>
      </c>
      <c r="Q18" s="40">
        <f t="shared" si="11"/>
        <v>5756529.7437442606</v>
      </c>
      <c r="R18" s="341"/>
      <c r="S18" s="177">
        <f t="shared" si="0"/>
        <v>0.53596809545486035</v>
      </c>
      <c r="T18" s="177">
        <f t="shared" si="1"/>
        <v>0.56563443126514046</v>
      </c>
      <c r="U18" s="177"/>
      <c r="V18" s="177">
        <f t="shared" si="2"/>
        <v>1.1016025267200007</v>
      </c>
      <c r="W18" s="169">
        <f t="shared" si="3"/>
        <v>1.1016025267200007</v>
      </c>
      <c r="X18" s="177"/>
      <c r="Y18" s="177"/>
      <c r="Z18" s="177"/>
      <c r="AA18" s="177"/>
      <c r="AB18" s="177">
        <f t="shared" si="10"/>
        <v>1.1016025267200007</v>
      </c>
      <c r="AC18" s="177"/>
      <c r="AD18" s="112">
        <f t="shared" si="4"/>
        <v>173838.13878754407</v>
      </c>
    </row>
    <row r="19" spans="1:43" x14ac:dyDescent="0.55000000000000004">
      <c r="A19" s="7" t="s">
        <v>93</v>
      </c>
      <c r="B19" s="135">
        <f>'output H2 PROVA'!G16+'output H2 PROVA'!K17</f>
        <v>3.2331731234863463</v>
      </c>
      <c r="C19" t="s">
        <v>168</v>
      </c>
      <c r="H19" s="40">
        <v>18</v>
      </c>
      <c r="I19" s="174">
        <f t="shared" si="5"/>
        <v>1.1017995889650625</v>
      </c>
      <c r="J19" s="174">
        <f t="shared" si="6"/>
        <v>0.19865671272529209</v>
      </c>
      <c r="K19" s="146">
        <f t="shared" si="7"/>
        <v>0.2222961161024436</v>
      </c>
      <c r="L19" s="124">
        <f t="shared" si="8"/>
        <v>0.82171640263643531</v>
      </c>
      <c r="M19" s="60"/>
      <c r="N19" s="40"/>
      <c r="O19" s="60">
        <f>'polarization curve'!$AB$17</f>
        <v>338619.39669083874</v>
      </c>
      <c r="P19" s="179">
        <f t="shared" si="9"/>
        <v>81.922731125584122</v>
      </c>
      <c r="Q19" s="40">
        <f t="shared" si="11"/>
        <v>6095149.1404350996</v>
      </c>
      <c r="R19" s="341"/>
      <c r="S19" s="177">
        <f t="shared" si="0"/>
        <v>0.51535393793736572</v>
      </c>
      <c r="T19" s="177">
        <f t="shared" si="1"/>
        <v>0.54387926083186566</v>
      </c>
      <c r="U19" s="177"/>
      <c r="V19" s="177">
        <f t="shared" si="2"/>
        <v>1.0592331987692314</v>
      </c>
      <c r="W19" s="169">
        <f t="shared" si="3"/>
        <v>1.0592331987692314</v>
      </c>
      <c r="X19" s="177"/>
      <c r="Y19" s="177"/>
      <c r="Z19" s="177"/>
      <c r="AA19" s="177"/>
      <c r="AB19" s="177">
        <f t="shared" si="10"/>
        <v>1.0592331987692314</v>
      </c>
      <c r="AC19" s="177"/>
      <c r="AD19" s="112">
        <f t="shared" si="4"/>
        <v>167152.05652648467</v>
      </c>
    </row>
    <row r="20" spans="1:43" ht="14.7" thickBot="1" x14ac:dyDescent="0.6">
      <c r="A20" s="16" t="s">
        <v>94</v>
      </c>
      <c r="B20" s="16">
        <f>'output H2 PROVA'!G17*'output H2 PROVA'!G15/10^6+'output H2 PROVA'!K18</f>
        <v>1.8000000000000002E-2</v>
      </c>
      <c r="C20" t="s">
        <v>97</v>
      </c>
      <c r="H20" s="40">
        <v>19</v>
      </c>
      <c r="I20" s="174">
        <f t="shared" si="5"/>
        <v>1.1017995889650625</v>
      </c>
      <c r="J20" s="174">
        <f t="shared" si="6"/>
        <v>0.19865671272529209</v>
      </c>
      <c r="K20" s="146">
        <f t="shared" si="7"/>
        <v>0.2222961161024436</v>
      </c>
      <c r="L20" s="124">
        <f t="shared" si="8"/>
        <v>0.82171640263643531</v>
      </c>
      <c r="M20" s="60"/>
      <c r="N20" s="45"/>
      <c r="O20" s="60">
        <f>'polarization curve'!$AB$17</f>
        <v>338619.39669083874</v>
      </c>
      <c r="P20" s="179">
        <f t="shared" si="9"/>
        <v>84.068543233288068</v>
      </c>
      <c r="Q20" s="40">
        <f t="shared" si="11"/>
        <v>6433768.5371259386</v>
      </c>
      <c r="R20" s="341"/>
      <c r="S20" s="177">
        <f t="shared" si="0"/>
        <v>0.49553263263208241</v>
      </c>
      <c r="T20" s="177">
        <f t="shared" si="1"/>
        <v>0.52296082772294783</v>
      </c>
      <c r="U20" s="177"/>
      <c r="V20" s="177">
        <f t="shared" si="2"/>
        <v>1.0184934603550302</v>
      </c>
      <c r="W20" s="169">
        <f t="shared" si="3"/>
        <v>1.0184934603550302</v>
      </c>
      <c r="X20" s="177"/>
      <c r="Y20" s="177"/>
      <c r="Z20" s="177"/>
      <c r="AA20" s="177"/>
      <c r="AB20" s="177">
        <f t="shared" si="10"/>
        <v>1.0184934603550302</v>
      </c>
      <c r="AC20" s="177"/>
      <c r="AD20" s="112">
        <f t="shared" si="4"/>
        <v>160723.13127546603</v>
      </c>
    </row>
    <row r="21" spans="1:43" ht="14.7" thickBot="1" x14ac:dyDescent="0.6">
      <c r="H21" s="40">
        <v>20</v>
      </c>
      <c r="I21" s="174">
        <f t="shared" si="5"/>
        <v>1.1017995889650625</v>
      </c>
      <c r="J21" s="174">
        <f t="shared" si="6"/>
        <v>0.19865671272529209</v>
      </c>
      <c r="K21" s="146">
        <f t="shared" si="7"/>
        <v>0.2222961161024436</v>
      </c>
      <c r="L21" s="124">
        <f t="shared" si="8"/>
        <v>0.82171640263643531</v>
      </c>
      <c r="M21" s="60"/>
      <c r="N21" s="40"/>
      <c r="O21" s="60">
        <f>'polarization curve'!$AB$17</f>
        <v>338619.39669083874</v>
      </c>
      <c r="P21" s="179">
        <f t="shared" si="9"/>
        <v>86.214355340992014</v>
      </c>
      <c r="Q21" s="40">
        <f t="shared" si="11"/>
        <v>6772387.9338167775</v>
      </c>
      <c r="R21" s="341"/>
      <c r="S21" s="177">
        <f t="shared" si="0"/>
        <v>0.47647368522315614</v>
      </c>
      <c r="T21" s="177">
        <f t="shared" si="1"/>
        <v>0.50284694973360367</v>
      </c>
      <c r="U21" s="177"/>
      <c r="V21" s="177">
        <f t="shared" si="2"/>
        <v>0.97932063495675981</v>
      </c>
      <c r="W21" s="169">
        <f t="shared" si="3"/>
        <v>0.97932063495675969</v>
      </c>
      <c r="X21" s="177"/>
      <c r="Y21" s="177"/>
      <c r="Z21" s="177"/>
      <c r="AA21" s="177"/>
      <c r="AB21" s="177">
        <f t="shared" si="10"/>
        <v>0.97932063495675969</v>
      </c>
      <c r="AC21" s="177"/>
      <c r="AD21" s="112">
        <f t="shared" si="4"/>
        <v>154541.47238025579</v>
      </c>
    </row>
    <row r="22" spans="1:43" ht="14.7" thickBot="1" x14ac:dyDescent="0.6">
      <c r="A22" s="128" t="s">
        <v>98</v>
      </c>
      <c r="B22" s="130"/>
      <c r="C22" s="130"/>
      <c r="G22" t="s">
        <v>218</v>
      </c>
      <c r="H22" s="86">
        <v>21</v>
      </c>
      <c r="I22" s="180">
        <f t="shared" si="5"/>
        <v>1.1017995889650625</v>
      </c>
      <c r="J22" s="174">
        <f t="shared" si="6"/>
        <v>0.19865671272529209</v>
      </c>
      <c r="K22" s="147">
        <f t="shared" si="7"/>
        <v>0.2222961161024436</v>
      </c>
      <c r="L22" s="125">
        <f t="shared" si="8"/>
        <v>0.82171640263643531</v>
      </c>
      <c r="M22" s="181">
        <f>B30</f>
        <v>3.3202633386189007</v>
      </c>
      <c r="N22" s="86"/>
      <c r="O22" s="58">
        <f>'polarization curve'!$AB$17</f>
        <v>338619.39669083874</v>
      </c>
      <c r="P22" s="182">
        <f t="shared" si="9"/>
        <v>91.680430787314862</v>
      </c>
      <c r="Q22" s="86">
        <f t="shared" si="11"/>
        <v>7111007.3305076165</v>
      </c>
      <c r="R22" s="342"/>
      <c r="S22" s="177">
        <f t="shared" si="0"/>
        <v>0.45814777425303466</v>
      </c>
      <c r="T22" s="177">
        <f t="shared" si="1"/>
        <v>0.48350668243615724</v>
      </c>
      <c r="U22" s="177"/>
      <c r="V22" s="177">
        <f t="shared" si="2"/>
        <v>0.9416544566891919</v>
      </c>
      <c r="W22" s="183">
        <f t="shared" si="3"/>
        <v>0.94165445668919179</v>
      </c>
      <c r="X22" s="178"/>
      <c r="Y22" s="178"/>
      <c r="Z22" s="178"/>
      <c r="AA22" s="178"/>
      <c r="AB22" s="177">
        <f>(I22+K22+L22+M22+N22)/((1+0.04)^H22)</f>
        <v>2.3986975775511015</v>
      </c>
      <c r="AC22" s="177"/>
      <c r="AD22" s="112">
        <f t="shared" si="4"/>
        <v>148597.56959639976</v>
      </c>
      <c r="AE22" s="176"/>
    </row>
    <row r="23" spans="1:43" x14ac:dyDescent="0.55000000000000004">
      <c r="A23" s="24" t="s">
        <v>185</v>
      </c>
      <c r="B23" s="132">
        <f>'output H2 PROVA'!R14</f>
        <v>2483.2089090661511</v>
      </c>
      <c r="C23" s="130"/>
      <c r="K23" s="146">
        <f>(K2-J2)*21+K26</f>
        <v>5.1646459090714973</v>
      </c>
      <c r="R23" s="228">
        <f>SUM(S2:S22)</f>
        <v>14.646618612146087</v>
      </c>
      <c r="S23" s="228">
        <f>SUM(T2:T22)</f>
        <v>15.457322663222609</v>
      </c>
      <c r="T23" s="228"/>
      <c r="U23" s="228">
        <f>SUM(V2:V22)</f>
        <v>30.103941275368705</v>
      </c>
    </row>
    <row r="24" spans="1:43" ht="14.7" thickBot="1" x14ac:dyDescent="0.6">
      <c r="A24" s="129" t="s">
        <v>186</v>
      </c>
      <c r="B24" s="133">
        <v>80</v>
      </c>
      <c r="C24" s="130"/>
      <c r="I24" s="275" t="s">
        <v>388</v>
      </c>
      <c r="J24" s="275"/>
      <c r="K24" s="275"/>
      <c r="L24" s="275"/>
      <c r="M24" s="275"/>
      <c r="N24" s="275"/>
      <c r="O24" s="275"/>
    </row>
    <row r="25" spans="1:43" ht="17.100000000000001" thickBot="1" x14ac:dyDescent="0.8">
      <c r="A25" s="131" t="s">
        <v>187</v>
      </c>
      <c r="B25" s="134">
        <f>B23*B24/10^6</f>
        <v>0.19865671272529209</v>
      </c>
      <c r="I25" s="126" t="s">
        <v>397</v>
      </c>
      <c r="J25" s="148"/>
      <c r="K25" s="148" t="s">
        <v>387</v>
      </c>
      <c r="L25" s="87" t="s">
        <v>396</v>
      </c>
      <c r="M25" s="87" t="s">
        <v>390</v>
      </c>
      <c r="N25" s="87" t="s">
        <v>391</v>
      </c>
      <c r="O25" s="127" t="s">
        <v>392</v>
      </c>
    </row>
    <row r="26" spans="1:43" ht="14.7" thickBot="1" x14ac:dyDescent="0.6">
      <c r="I26" s="118">
        <f>SUM(I2:I22)</f>
        <v>23.13779136826631</v>
      </c>
      <c r="J26" s="117"/>
      <c r="K26" s="117">
        <f>SUM(K2:K22)</f>
        <v>4.6682184381513157</v>
      </c>
      <c r="L26" s="118">
        <f>SUM(L2:L22)</f>
        <v>17.256044455365139</v>
      </c>
      <c r="M26" s="118">
        <f>M22</f>
        <v>3.3202633386189007</v>
      </c>
      <c r="N26">
        <f>SUM(N2:N22)</f>
        <v>6.6405266772378013</v>
      </c>
      <c r="O26" s="118">
        <f>G2</f>
        <v>36.657586509675355</v>
      </c>
    </row>
    <row r="27" spans="1:43" ht="14.7" thickBot="1" x14ac:dyDescent="0.6">
      <c r="A27" s="116" t="s">
        <v>99</v>
      </c>
    </row>
    <row r="28" spans="1:43" x14ac:dyDescent="0.55000000000000004">
      <c r="A28" s="7" t="s">
        <v>77</v>
      </c>
      <c r="B28" s="135">
        <f>'costo electrolyser'!C5/10^6</f>
        <v>33.202633386189007</v>
      </c>
      <c r="AA28" t="s">
        <v>353</v>
      </c>
      <c r="AB28" t="s">
        <v>354</v>
      </c>
    </row>
    <row r="29" spans="1:43" x14ac:dyDescent="0.55000000000000004">
      <c r="A29" s="7" t="s">
        <v>87</v>
      </c>
      <c r="B29" s="143">
        <f>(6*'polarization curve'!Z17*1000)/(10^6)</f>
        <v>5.63940337715149E-3</v>
      </c>
      <c r="R29" t="s">
        <v>351</v>
      </c>
      <c r="S29" t="s">
        <v>352</v>
      </c>
      <c r="U29" t="s">
        <v>349</v>
      </c>
      <c r="W29" t="s">
        <v>350</v>
      </c>
      <c r="X29" t="s">
        <v>349</v>
      </c>
      <c r="Y29" t="s">
        <v>261</v>
      </c>
      <c r="AA29">
        <f>AA2*10^6/AE2</f>
        <v>7.7165001663639314</v>
      </c>
    </row>
    <row r="30" spans="1:43" x14ac:dyDescent="0.55000000000000004">
      <c r="A30" s="7" t="s">
        <v>81</v>
      </c>
      <c r="B30" s="136">
        <f>0.1*B28</f>
        <v>3.3202633386189007</v>
      </c>
      <c r="R30">
        <f>R23*10^6/Q22</f>
        <v>2.0597108020560211</v>
      </c>
      <c r="S30">
        <f>S23*10^6/Q22</f>
        <v>2.1737177230724631</v>
      </c>
      <c r="U30" s="204">
        <f>Y2*10^6/Q22</f>
        <v>6.5558048752854017</v>
      </c>
      <c r="W30" s="204">
        <f>X2*10^6/Q22</f>
        <v>4.2334285251284838</v>
      </c>
      <c r="X30" s="204">
        <f>Y2*10^6/Q22</f>
        <v>6.5558048752854017</v>
      </c>
      <c r="Y30" s="204">
        <f>SUM(W30:X30)</f>
        <v>10.789233400413885</v>
      </c>
    </row>
    <row r="31" spans="1:43" ht="14.7" thickBot="1" x14ac:dyDescent="0.6">
      <c r="A31" s="16" t="s">
        <v>100</v>
      </c>
      <c r="B31" s="137">
        <f>B28*0.2</f>
        <v>6.6405266772378013</v>
      </c>
    </row>
    <row r="32" spans="1:43" ht="14.7" thickBot="1" x14ac:dyDescent="0.6">
      <c r="A32" s="26" t="s">
        <v>300</v>
      </c>
      <c r="B32" s="205">
        <f>'polarization curve'!Z17*1000</f>
        <v>939.90056285858157</v>
      </c>
      <c r="AH32" s="266" t="s">
        <v>368</v>
      </c>
      <c r="AI32" s="267"/>
      <c r="AJ32" s="267"/>
      <c r="AK32" s="267"/>
      <c r="AL32" s="267"/>
      <c r="AM32" s="267"/>
      <c r="AN32" s="267"/>
      <c r="AO32" s="267"/>
      <c r="AP32" s="267"/>
      <c r="AQ32" s="268"/>
    </row>
    <row r="33" spans="1:58" ht="14.7" thickBot="1" x14ac:dyDescent="0.6">
      <c r="A33" s="26" t="s">
        <v>301</v>
      </c>
      <c r="B33" s="206">
        <f>B28*10^6/B32</f>
        <v>35325.687310163587</v>
      </c>
      <c r="AH33" s="269"/>
      <c r="AI33" s="270"/>
      <c r="AJ33" s="270"/>
      <c r="AK33" s="270"/>
      <c r="AL33" s="270"/>
      <c r="AM33" s="270"/>
      <c r="AN33" s="270"/>
      <c r="AO33" s="270"/>
      <c r="AP33" s="270"/>
      <c r="AQ33" s="271"/>
    </row>
    <row r="34" spans="1:58" ht="14.7" thickBot="1" x14ac:dyDescent="0.6">
      <c r="B34" s="204"/>
    </row>
    <row r="35" spans="1:58" ht="14.7" thickBot="1" x14ac:dyDescent="0.6">
      <c r="V35" s="337" t="s">
        <v>355</v>
      </c>
      <c r="W35" s="338"/>
      <c r="X35" s="338"/>
      <c r="Y35" s="339"/>
      <c r="Z35" s="279" t="s">
        <v>363</v>
      </c>
      <c r="AA35" s="332" t="s">
        <v>356</v>
      </c>
      <c r="AB35" s="333"/>
      <c r="AC35" s="333"/>
      <c r="AD35" s="72" t="s">
        <v>364</v>
      </c>
      <c r="AH35" s="337" t="s">
        <v>353</v>
      </c>
      <c r="AI35" s="338"/>
      <c r="AJ35" s="338"/>
      <c r="AK35" s="339"/>
      <c r="AL35" s="279" t="s">
        <v>363</v>
      </c>
      <c r="AM35" s="332" t="s">
        <v>354</v>
      </c>
      <c r="AN35" s="333"/>
      <c r="AO35" s="333"/>
      <c r="AP35" s="333"/>
      <c r="AQ35" s="343"/>
      <c r="AR35" t="s">
        <v>364</v>
      </c>
      <c r="AV35" s="337" t="s">
        <v>362</v>
      </c>
      <c r="AW35" s="338"/>
      <c r="AX35" s="338"/>
      <c r="AY35" s="339"/>
      <c r="AZ35" s="57" t="s">
        <v>363</v>
      </c>
      <c r="BA35" s="332" t="s">
        <v>354</v>
      </c>
      <c r="BB35" s="333"/>
      <c r="BC35" s="333"/>
      <c r="BD35" s="333"/>
      <c r="BE35" s="232"/>
      <c r="BF35" t="s">
        <v>364</v>
      </c>
    </row>
    <row r="36" spans="1:58" ht="14.4" customHeight="1" thickBot="1" x14ac:dyDescent="0.6">
      <c r="A36" s="308" t="s">
        <v>281</v>
      </c>
      <c r="B36" s="309"/>
      <c r="C36" s="310"/>
      <c r="V36" s="229" t="s">
        <v>359</v>
      </c>
      <c r="W36" s="229" t="s">
        <v>357</v>
      </c>
      <c r="X36" s="229" t="s">
        <v>358</v>
      </c>
      <c r="Y36" s="229" t="s">
        <v>360</v>
      </c>
      <c r="Z36" s="271"/>
      <c r="AA36" s="45" t="s">
        <v>90</v>
      </c>
      <c r="AB36" s="45" t="s">
        <v>361</v>
      </c>
      <c r="AC36" s="45" t="s">
        <v>365</v>
      </c>
      <c r="AD36" s="204">
        <f>SUM(AA58:AC58)</f>
        <v>30.103941275368694</v>
      </c>
      <c r="AH36" s="229" t="s">
        <v>359</v>
      </c>
      <c r="AI36" s="229" t="s">
        <v>357</v>
      </c>
      <c r="AJ36" s="229" t="s">
        <v>358</v>
      </c>
      <c r="AK36" s="229"/>
      <c r="AL36" s="271"/>
      <c r="AM36" s="45" t="s">
        <v>90</v>
      </c>
      <c r="AN36" s="45" t="s">
        <v>361</v>
      </c>
      <c r="AO36" s="231" t="s">
        <v>365</v>
      </c>
      <c r="AP36" s="229" t="s">
        <v>360</v>
      </c>
      <c r="AR36" s="118">
        <f>SUM(AM58:AP58)</f>
        <v>35.874543901301465</v>
      </c>
      <c r="AV36" s="229" t="s">
        <v>359</v>
      </c>
      <c r="AW36" s="229" t="s">
        <v>357</v>
      </c>
      <c r="AX36" s="229" t="s">
        <v>358</v>
      </c>
      <c r="AY36" s="229"/>
      <c r="AZ36" s="118">
        <f>SUM(AV37:AX37)</f>
        <v>36.657586509675355</v>
      </c>
      <c r="BA36" s="45" t="s">
        <v>90</v>
      </c>
      <c r="BB36" s="45" t="s">
        <v>361</v>
      </c>
      <c r="BC36" s="223" t="s">
        <v>365</v>
      </c>
      <c r="BD36" s="229" t="s">
        <v>360</v>
      </c>
      <c r="BF36" s="118">
        <f>SUM(BA58:BD58)</f>
        <v>35.874543901301465</v>
      </c>
    </row>
    <row r="37" spans="1:58" ht="14.4" customHeight="1" x14ac:dyDescent="0.55000000000000004">
      <c r="A37" s="200" t="s">
        <v>282</v>
      </c>
      <c r="B37" s="203">
        <f>B15</f>
        <v>0.22177999999999998</v>
      </c>
      <c r="C37" s="201" t="s">
        <v>394</v>
      </c>
      <c r="V37" s="118">
        <f>B28</f>
        <v>33.202633386189007</v>
      </c>
      <c r="W37" s="118">
        <f>B15</f>
        <v>0.22177999999999998</v>
      </c>
      <c r="X37" s="118">
        <f>B19</f>
        <v>3.2331731234863463</v>
      </c>
      <c r="Y37" s="118">
        <f>B30+B31</f>
        <v>9.960790015856702</v>
      </c>
      <c r="Z37" s="118">
        <f>SUM(V37:Y37)</f>
        <v>46.618376525532057</v>
      </c>
      <c r="AA37" s="118">
        <f>(L2)/(1+0.04)^H2</f>
        <v>0.79011192561195698</v>
      </c>
      <c r="AB37" s="118">
        <f>(I2)/(1+0.04)^H2</f>
        <v>1.0594226816971755</v>
      </c>
      <c r="AC37" s="118">
        <f>(K2)/(1+0.04)^H2</f>
        <v>0.21374626548311884</v>
      </c>
      <c r="AD37" s="118"/>
      <c r="AH37" s="118">
        <f>V37</f>
        <v>33.202633386189007</v>
      </c>
      <c r="AI37" s="118">
        <f>W37</f>
        <v>0.22177999999999998</v>
      </c>
      <c r="AJ37" s="118">
        <f>X37</f>
        <v>3.2331731234863463</v>
      </c>
      <c r="AL37" s="118">
        <f>SUM(AH37:AJ37)</f>
        <v>36.657586509675355</v>
      </c>
      <c r="AM37" s="118">
        <f>(L2)/(1+0.04)^H2</f>
        <v>0.79011192561195698</v>
      </c>
      <c r="AN37" s="118">
        <f>(I2)/(1+0.04)^H2</f>
        <v>1.0594226816971755</v>
      </c>
      <c r="AO37" s="118">
        <f>(K2)/(1+0.04)^H2</f>
        <v>0.21374626548311884</v>
      </c>
      <c r="AP37" s="118"/>
      <c r="AV37" s="118">
        <f>AH37</f>
        <v>33.202633386189007</v>
      </c>
      <c r="AW37" s="118">
        <f>AI37</f>
        <v>0.22177999999999998</v>
      </c>
      <c r="AX37" s="118">
        <f>AJ37</f>
        <v>3.2331731234863463</v>
      </c>
      <c r="BA37" s="118">
        <f>AM37</f>
        <v>0.79011192561195698</v>
      </c>
      <c r="BB37" s="118">
        <f t="shared" ref="BB37:BC37" si="12">AN37</f>
        <v>1.0594226816971755</v>
      </c>
      <c r="BC37" s="118">
        <f t="shared" si="12"/>
        <v>0.21374626548311884</v>
      </c>
    </row>
    <row r="38" spans="1:58" ht="14.7" customHeight="1" x14ac:dyDescent="0.55000000000000004">
      <c r="A38" s="40" t="s">
        <v>283</v>
      </c>
      <c r="B38" s="175">
        <f>B12</f>
        <v>0.82171640263643531</v>
      </c>
      <c r="C38" s="123" t="s">
        <v>395</v>
      </c>
      <c r="AA38" s="118">
        <f t="shared" ref="AA38:AA57" si="13">(L3)/(1+0.04)^H3</f>
        <v>0.75972300539611248</v>
      </c>
      <c r="AB38" s="118">
        <f t="shared" ref="AB38:AB57" si="14">(I3)/(1+0.04)^H3</f>
        <v>1.0186756554780532</v>
      </c>
      <c r="AC38" s="118">
        <f t="shared" ref="AC38:AC57" si="15">(K3)/(1+0.04)^H3</f>
        <v>0.20552525527222965</v>
      </c>
      <c r="AD38" s="118"/>
      <c r="AM38" s="118">
        <f t="shared" ref="AM38:AM57" si="16">(L3)/(1+0.04)^H3</f>
        <v>0.75972300539611248</v>
      </c>
      <c r="AN38" s="118">
        <f t="shared" ref="AN38:AN57" si="17">(I3)/(1+0.04)^H3</f>
        <v>1.0186756554780532</v>
      </c>
      <c r="AO38" s="118">
        <f t="shared" ref="AO38:AO57" si="18">(K3)/(1+0.04)^H3</f>
        <v>0.20552525527222965</v>
      </c>
      <c r="AP38" s="118"/>
      <c r="BA38" s="118">
        <f t="shared" ref="BA38:BA57" si="19">AM38</f>
        <v>0.75972300539611248</v>
      </c>
      <c r="BB38" s="118">
        <f t="shared" ref="BB38:BB58" si="20">AN38</f>
        <v>1.0186756554780532</v>
      </c>
      <c r="BC38" s="118">
        <f t="shared" ref="BC38:BD58" si="21">AO38</f>
        <v>0.20552525527222965</v>
      </c>
    </row>
    <row r="39" spans="1:58" x14ac:dyDescent="0.55000000000000004">
      <c r="A39" s="40" t="s">
        <v>285</v>
      </c>
      <c r="B39" s="175">
        <f>'output H2 PROVA'!G16</f>
        <v>2.7831731234863462</v>
      </c>
      <c r="C39" s="123" t="s">
        <v>394</v>
      </c>
      <c r="AA39" s="118">
        <f t="shared" si="13"/>
        <v>0.73050288980395428</v>
      </c>
      <c r="AB39" s="118">
        <f t="shared" si="14"/>
        <v>0.97949582257505119</v>
      </c>
      <c r="AC39" s="118">
        <f t="shared" si="15"/>
        <v>0.19762043776175928</v>
      </c>
      <c r="AD39" s="118"/>
      <c r="AM39" s="118">
        <f t="shared" si="16"/>
        <v>0.73050288980395428</v>
      </c>
      <c r="AN39" s="118">
        <f t="shared" si="17"/>
        <v>0.97949582257505119</v>
      </c>
      <c r="AO39" s="118">
        <f t="shared" si="18"/>
        <v>0.19762043776175928</v>
      </c>
      <c r="AP39" s="118"/>
      <c r="BA39" s="118">
        <f t="shared" si="19"/>
        <v>0.73050288980395428</v>
      </c>
      <c r="BB39" s="118">
        <f t="shared" si="20"/>
        <v>0.97949582257505119</v>
      </c>
      <c r="BC39" s="118">
        <f t="shared" si="21"/>
        <v>0.19762043776175928</v>
      </c>
    </row>
    <row r="40" spans="1:58" x14ac:dyDescent="0.55000000000000004">
      <c r="A40" s="40" t="s">
        <v>286</v>
      </c>
      <c r="B40" s="60">
        <f>'output H2 PROVA'!K17</f>
        <v>0.45</v>
      </c>
      <c r="C40" s="123" t="s">
        <v>394</v>
      </c>
      <c r="AA40" s="118">
        <f t="shared" si="13"/>
        <v>0.70240662481149441</v>
      </c>
      <c r="AB40" s="118">
        <f t="shared" si="14"/>
        <v>0.94182290632216448</v>
      </c>
      <c r="AC40" s="118">
        <f t="shared" si="15"/>
        <v>0.19001965169399929</v>
      </c>
      <c r="AD40" s="118"/>
      <c r="AM40" s="118">
        <f t="shared" si="16"/>
        <v>0.70240662481149441</v>
      </c>
      <c r="AN40" s="118">
        <f t="shared" si="17"/>
        <v>0.94182290632216448</v>
      </c>
      <c r="AO40" s="118">
        <f t="shared" si="18"/>
        <v>0.19001965169399929</v>
      </c>
      <c r="AP40" s="118"/>
      <c r="BA40" s="118">
        <f t="shared" si="19"/>
        <v>0.70240662481149441</v>
      </c>
      <c r="BB40" s="118">
        <f t="shared" si="20"/>
        <v>0.94182290632216448</v>
      </c>
      <c r="BC40" s="118">
        <f t="shared" si="21"/>
        <v>0.19001965169399929</v>
      </c>
    </row>
    <row r="41" spans="1:58" x14ac:dyDescent="0.55000000000000004">
      <c r="A41" s="40" t="s">
        <v>287</v>
      </c>
      <c r="B41" s="60">
        <f>B20</f>
        <v>1.8000000000000002E-2</v>
      </c>
      <c r="C41" s="123" t="s">
        <v>395</v>
      </c>
      <c r="AA41" s="118">
        <f t="shared" si="13"/>
        <v>0.67539098539566766</v>
      </c>
      <c r="AB41" s="118">
        <f t="shared" si="14"/>
        <v>0.90559894838669652</v>
      </c>
      <c r="AC41" s="118">
        <f t="shared" si="15"/>
        <v>0.18271120355192236</v>
      </c>
      <c r="AD41" s="118"/>
      <c r="AM41" s="118">
        <f t="shared" si="16"/>
        <v>0.67539098539566766</v>
      </c>
      <c r="AN41" s="118">
        <f t="shared" si="17"/>
        <v>0.90559894838669652</v>
      </c>
      <c r="AO41" s="118">
        <f t="shared" si="18"/>
        <v>0.18271120355192236</v>
      </c>
      <c r="AP41" s="118"/>
      <c r="BA41" s="118">
        <f t="shared" si="19"/>
        <v>0.67539098539566766</v>
      </c>
      <c r="BB41" s="118">
        <f t="shared" si="20"/>
        <v>0.90559894838669652</v>
      </c>
      <c r="BC41" s="118">
        <f t="shared" si="21"/>
        <v>0.18271120355192236</v>
      </c>
    </row>
    <row r="42" spans="1:58" x14ac:dyDescent="0.55000000000000004">
      <c r="A42" s="40" t="s">
        <v>266</v>
      </c>
      <c r="B42" s="146">
        <f>B25</f>
        <v>0.19865671272529209</v>
      </c>
      <c r="C42" s="123" t="s">
        <v>395</v>
      </c>
      <c r="AA42" s="118">
        <f t="shared" si="13"/>
        <v>0.64941440903429581</v>
      </c>
      <c r="AB42" s="118">
        <f t="shared" si="14"/>
        <v>0.87076821960259287</v>
      </c>
      <c r="AC42" s="118">
        <f t="shared" si="15"/>
        <v>0.17568384956915611</v>
      </c>
      <c r="AD42" s="118"/>
      <c r="AM42" s="118">
        <f t="shared" si="16"/>
        <v>0.64941440903429581</v>
      </c>
      <c r="AN42" s="118">
        <f t="shared" si="17"/>
        <v>0.87076821960259287</v>
      </c>
      <c r="AO42" s="118">
        <f t="shared" si="18"/>
        <v>0.17568384956915611</v>
      </c>
      <c r="AP42" s="118"/>
      <c r="BA42" s="118">
        <f t="shared" si="19"/>
        <v>0.64941440903429581</v>
      </c>
      <c r="BB42" s="118">
        <f t="shared" si="20"/>
        <v>0.87076821960259287</v>
      </c>
      <c r="BC42" s="118">
        <f t="shared" si="21"/>
        <v>0.17568384956915611</v>
      </c>
    </row>
    <row r="43" spans="1:58" x14ac:dyDescent="0.55000000000000004">
      <c r="A43" s="40" t="s">
        <v>288</v>
      </c>
      <c r="B43" s="175">
        <f>B28</f>
        <v>33.202633386189007</v>
      </c>
      <c r="C43" s="123" t="s">
        <v>394</v>
      </c>
      <c r="E43" t="s">
        <v>256</v>
      </c>
      <c r="AA43" s="118">
        <f t="shared" si="13"/>
        <v>0.62443693176374604</v>
      </c>
      <c r="AB43" s="118">
        <f t="shared" si="14"/>
        <v>0.83727713423326244</v>
      </c>
      <c r="AC43" s="118">
        <f t="shared" si="15"/>
        <v>0.16892677843188089</v>
      </c>
      <c r="AD43" s="118"/>
      <c r="AM43" s="118">
        <f t="shared" si="16"/>
        <v>0.62443693176374604</v>
      </c>
      <c r="AN43" s="118">
        <f t="shared" si="17"/>
        <v>0.83727713423326244</v>
      </c>
      <c r="AO43" s="118">
        <f t="shared" si="18"/>
        <v>0.16892677843188089</v>
      </c>
      <c r="AP43" s="118"/>
      <c r="BA43" s="118">
        <f t="shared" si="19"/>
        <v>0.62443693176374604</v>
      </c>
      <c r="BB43" s="118">
        <f t="shared" si="20"/>
        <v>0.83727713423326244</v>
      </c>
      <c r="BC43" s="118">
        <f t="shared" si="21"/>
        <v>0.16892677843188089</v>
      </c>
    </row>
    <row r="44" spans="1:58" x14ac:dyDescent="0.55000000000000004">
      <c r="A44" s="40" t="s">
        <v>289</v>
      </c>
      <c r="B44" s="146">
        <f>B29</f>
        <v>5.63940337715149E-3</v>
      </c>
      <c r="C44" s="123" t="s">
        <v>395</v>
      </c>
      <c r="AA44" s="118">
        <f t="shared" si="13"/>
        <v>0.60042012669590961</v>
      </c>
      <c r="AB44" s="118">
        <f t="shared" si="14"/>
        <v>0.80507416753198291</v>
      </c>
      <c r="AC44" s="118">
        <f t="shared" si="15"/>
        <v>0.16242959464603929</v>
      </c>
      <c r="AD44" s="118"/>
      <c r="AM44" s="118">
        <f t="shared" si="16"/>
        <v>0.60042012669590961</v>
      </c>
      <c r="AN44" s="118">
        <f t="shared" si="17"/>
        <v>0.80507416753198291</v>
      </c>
      <c r="AO44" s="118">
        <f t="shared" si="18"/>
        <v>0.16242959464603929</v>
      </c>
      <c r="AP44" s="118"/>
      <c r="BA44" s="118">
        <f t="shared" si="19"/>
        <v>0.60042012669590961</v>
      </c>
      <c r="BB44" s="118">
        <f t="shared" si="20"/>
        <v>0.80507416753198291</v>
      </c>
      <c r="BC44" s="118">
        <f t="shared" si="21"/>
        <v>0.16242959464603929</v>
      </c>
    </row>
    <row r="45" spans="1:58" x14ac:dyDescent="0.55000000000000004">
      <c r="A45" s="40" t="s">
        <v>290</v>
      </c>
      <c r="B45" s="175">
        <f>B30</f>
        <v>3.3202633386189007</v>
      </c>
      <c r="C45" s="123" t="s">
        <v>394</v>
      </c>
      <c r="AA45" s="118">
        <f t="shared" si="13"/>
        <v>0.57732704489991293</v>
      </c>
      <c r="AB45" s="118">
        <f t="shared" si="14"/>
        <v>0.77410977647306045</v>
      </c>
      <c r="AC45" s="118">
        <f t="shared" si="15"/>
        <v>0.15618230254426854</v>
      </c>
      <c r="AD45" s="118"/>
      <c r="AM45" s="118">
        <f t="shared" si="16"/>
        <v>0.57732704489991293</v>
      </c>
      <c r="AN45" s="118">
        <f t="shared" si="17"/>
        <v>0.77410977647306045</v>
      </c>
      <c r="AO45" s="118">
        <f t="shared" si="18"/>
        <v>0.15618230254426854</v>
      </c>
      <c r="AP45" s="118"/>
      <c r="BA45" s="118">
        <f t="shared" si="19"/>
        <v>0.57732704489991293</v>
      </c>
      <c r="BB45" s="118">
        <f t="shared" si="20"/>
        <v>0.77410977647306045</v>
      </c>
      <c r="BC45" s="118">
        <f t="shared" si="21"/>
        <v>0.15618230254426854</v>
      </c>
    </row>
    <row r="46" spans="1:58" x14ac:dyDescent="0.55000000000000004">
      <c r="A46" s="40" t="s">
        <v>291</v>
      </c>
      <c r="B46" s="175">
        <f>B31</f>
        <v>6.6405266772378013</v>
      </c>
      <c r="C46" s="123" t="s">
        <v>394</v>
      </c>
      <c r="AA46" s="118">
        <f t="shared" si="13"/>
        <v>0.5551221585576086</v>
      </c>
      <c r="AB46" s="118">
        <f t="shared" si="14"/>
        <v>0.74433632353178891</v>
      </c>
      <c r="AC46" s="118">
        <f t="shared" si="15"/>
        <v>0.15017529090795051</v>
      </c>
      <c r="AD46" s="118"/>
      <c r="AM46" s="118">
        <f t="shared" si="16"/>
        <v>0.5551221585576086</v>
      </c>
      <c r="AN46" s="118">
        <f t="shared" si="17"/>
        <v>0.74433632353178891</v>
      </c>
      <c r="AO46" s="118">
        <f t="shared" si="18"/>
        <v>0.15017529090795051</v>
      </c>
      <c r="AP46" s="118"/>
      <c r="BA46" s="118">
        <f t="shared" si="19"/>
        <v>0.5551221585576086</v>
      </c>
      <c r="BB46" s="118">
        <f t="shared" si="20"/>
        <v>0.74433632353178891</v>
      </c>
      <c r="BC46" s="118">
        <f t="shared" si="21"/>
        <v>0.15017529090795051</v>
      </c>
    </row>
    <row r="47" spans="1:58" ht="14.7" thickBot="1" x14ac:dyDescent="0.6">
      <c r="A47" s="86" t="s">
        <v>292</v>
      </c>
      <c r="B47" s="181">
        <f>B2</f>
        <v>1.1017995889650625</v>
      </c>
      <c r="C47" s="173" t="s">
        <v>395</v>
      </c>
      <c r="AA47" s="118">
        <f t="shared" si="13"/>
        <v>0.53377130630539293</v>
      </c>
      <c r="AB47" s="118">
        <f t="shared" si="14"/>
        <v>0.71570800339595098</v>
      </c>
      <c r="AC47" s="118">
        <f t="shared" si="15"/>
        <v>0.14439931818072166</v>
      </c>
      <c r="AD47" s="118"/>
      <c r="AM47" s="118">
        <f t="shared" si="16"/>
        <v>0.53377130630539293</v>
      </c>
      <c r="AN47" s="118">
        <f t="shared" si="17"/>
        <v>0.71570800339595098</v>
      </c>
      <c r="AO47" s="118">
        <f t="shared" si="18"/>
        <v>0.14439931818072166</v>
      </c>
      <c r="AP47" s="118">
        <f>(N12)/((1+0.04)^H12)</f>
        <v>4.3135595050708631</v>
      </c>
      <c r="BA47" s="118">
        <f t="shared" si="19"/>
        <v>0.53377130630539293</v>
      </c>
      <c r="BB47" s="118">
        <f t="shared" si="20"/>
        <v>0.71570800339595098</v>
      </c>
      <c r="BC47" s="118">
        <f t="shared" si="21"/>
        <v>0.14439931818072166</v>
      </c>
      <c r="BD47">
        <f>(N12)/((1+0.04)^H12)</f>
        <v>4.3135595050708631</v>
      </c>
    </row>
    <row r="48" spans="1:58" x14ac:dyDescent="0.55000000000000004">
      <c r="A48" s="45"/>
      <c r="B48" s="45"/>
      <c r="C48" s="45"/>
      <c r="AA48" s="118">
        <f t="shared" si="13"/>
        <v>0.51324164067826239</v>
      </c>
      <c r="AB48" s="118">
        <f t="shared" si="14"/>
        <v>0.68818077249610654</v>
      </c>
      <c r="AC48" s="118">
        <f t="shared" si="15"/>
        <v>0.13884549825069389</v>
      </c>
      <c r="AD48" s="118"/>
      <c r="AM48" s="118">
        <f t="shared" si="16"/>
        <v>0.51324164067826239</v>
      </c>
      <c r="AN48" s="118">
        <f t="shared" si="17"/>
        <v>0.68818077249610654</v>
      </c>
      <c r="AO48" s="118">
        <f t="shared" si="18"/>
        <v>0.13884549825069389</v>
      </c>
      <c r="AP48" s="118"/>
      <c r="BA48" s="118">
        <f t="shared" si="19"/>
        <v>0.51324164067826239</v>
      </c>
      <c r="BB48" s="118">
        <f t="shared" si="20"/>
        <v>0.68818077249610654</v>
      </c>
      <c r="BC48" s="118">
        <f t="shared" si="21"/>
        <v>0.13884549825069389</v>
      </c>
    </row>
    <row r="49" spans="1:58" ht="14.7" thickBot="1" x14ac:dyDescent="0.6">
      <c r="A49" s="45"/>
      <c r="B49" s="45"/>
      <c r="C49" s="45"/>
      <c r="AA49" s="118">
        <f t="shared" si="13"/>
        <v>0.49350157757525226</v>
      </c>
      <c r="AB49" s="118">
        <f t="shared" si="14"/>
        <v>0.66171228124625625</v>
      </c>
      <c r="AC49" s="118">
        <f t="shared" si="15"/>
        <v>0.13350528677951334</v>
      </c>
      <c r="AD49" s="118"/>
      <c r="AM49" s="118">
        <f t="shared" si="16"/>
        <v>0.49350157757525226</v>
      </c>
      <c r="AN49" s="118">
        <f t="shared" si="17"/>
        <v>0.66171228124625625</v>
      </c>
      <c r="AO49" s="118">
        <f t="shared" si="18"/>
        <v>0.13350528677951334</v>
      </c>
      <c r="AP49" s="118"/>
      <c r="BA49" s="118">
        <f t="shared" si="19"/>
        <v>0.49350157757525226</v>
      </c>
      <c r="BB49" s="118">
        <f t="shared" si="20"/>
        <v>0.66171228124625625</v>
      </c>
      <c r="BC49" s="118">
        <f t="shared" si="21"/>
        <v>0.13350528677951334</v>
      </c>
    </row>
    <row r="50" spans="1:58" x14ac:dyDescent="0.55000000000000004">
      <c r="A50" s="200" t="s">
        <v>412</v>
      </c>
      <c r="B50" s="203">
        <f>B37</f>
        <v>0.22177999999999998</v>
      </c>
      <c r="C50" s="201" t="s">
        <v>394</v>
      </c>
      <c r="AA50" s="118">
        <f t="shared" si="13"/>
        <v>0.47452074766851177</v>
      </c>
      <c r="AB50" s="118">
        <f t="shared" si="14"/>
        <v>0.636261808890631</v>
      </c>
      <c r="AC50" s="118">
        <f t="shared" si="15"/>
        <v>0.12837046805722438</v>
      </c>
      <c r="AD50" s="118"/>
      <c r="AM50" s="118">
        <f t="shared" si="16"/>
        <v>0.47452074766851177</v>
      </c>
      <c r="AN50" s="118">
        <f t="shared" si="17"/>
        <v>0.636261808890631</v>
      </c>
      <c r="AO50" s="118">
        <f t="shared" si="18"/>
        <v>0.12837046805722438</v>
      </c>
      <c r="AP50" s="118"/>
      <c r="BA50" s="118">
        <f t="shared" si="19"/>
        <v>0.47452074766851177</v>
      </c>
      <c r="BB50" s="118">
        <f t="shared" si="20"/>
        <v>0.636261808890631</v>
      </c>
      <c r="BC50" s="118">
        <f t="shared" si="21"/>
        <v>0.12837046805722438</v>
      </c>
    </row>
    <row r="51" spans="1:58" x14ac:dyDescent="0.55000000000000004">
      <c r="A51" s="40" t="s">
        <v>411</v>
      </c>
      <c r="B51" s="175">
        <f>B39</f>
        <v>2.7831731234863462</v>
      </c>
      <c r="C51" s="123" t="s">
        <v>394</v>
      </c>
      <c r="AA51" s="118">
        <f t="shared" si="13"/>
        <v>0.45626994968126133</v>
      </c>
      <c r="AB51" s="118">
        <f t="shared" si="14"/>
        <v>0.61179020085637603</v>
      </c>
      <c r="AC51" s="118">
        <f t="shared" si="15"/>
        <v>0.12343314236271574</v>
      </c>
      <c r="AD51" s="118"/>
      <c r="AM51" s="118">
        <f t="shared" si="16"/>
        <v>0.45626994968126133</v>
      </c>
      <c r="AN51" s="118">
        <f t="shared" si="17"/>
        <v>0.61179020085637603</v>
      </c>
      <c r="AO51" s="118">
        <f t="shared" si="18"/>
        <v>0.12343314236271574</v>
      </c>
      <c r="AP51" s="118"/>
      <c r="BA51" s="118">
        <f t="shared" si="19"/>
        <v>0.45626994968126133</v>
      </c>
      <c r="BB51" s="118">
        <f t="shared" si="20"/>
        <v>0.61179020085637603</v>
      </c>
      <c r="BC51" s="118">
        <f t="shared" si="21"/>
        <v>0.12343314236271574</v>
      </c>
    </row>
    <row r="52" spans="1:58" x14ac:dyDescent="0.55000000000000004">
      <c r="A52" s="40" t="s">
        <v>191</v>
      </c>
      <c r="B52" s="60">
        <f>B40</f>
        <v>0.45</v>
      </c>
      <c r="C52" s="123" t="s">
        <v>394</v>
      </c>
      <c r="AA52" s="118">
        <f t="shared" si="13"/>
        <v>0.43872110546275123</v>
      </c>
      <c r="AB52" s="118">
        <f t="shared" si="14"/>
        <v>0.588259808515746</v>
      </c>
      <c r="AC52" s="118">
        <f t="shared" si="15"/>
        <v>0.11868571381030359</v>
      </c>
      <c r="AD52" s="118"/>
      <c r="AM52" s="118">
        <f t="shared" si="16"/>
        <v>0.43872110546275123</v>
      </c>
      <c r="AN52" s="118">
        <f t="shared" si="17"/>
        <v>0.588259808515746</v>
      </c>
      <c r="AO52" s="118">
        <f t="shared" si="18"/>
        <v>0.11868571381030359</v>
      </c>
      <c r="AP52" s="118"/>
      <c r="BA52" s="118">
        <f t="shared" si="19"/>
        <v>0.43872110546275123</v>
      </c>
      <c r="BB52" s="118">
        <f t="shared" si="20"/>
        <v>0.588259808515746</v>
      </c>
      <c r="BC52" s="118">
        <f t="shared" si="21"/>
        <v>0.11868571381030359</v>
      </c>
    </row>
    <row r="53" spans="1:58" x14ac:dyDescent="0.55000000000000004">
      <c r="A53" s="40" t="s">
        <v>410</v>
      </c>
      <c r="B53" s="175">
        <f>B43</f>
        <v>33.202633386189007</v>
      </c>
      <c r="C53" s="123" t="s">
        <v>394</v>
      </c>
      <c r="AA53" s="118">
        <f t="shared" si="13"/>
        <v>0.42184721679110693</v>
      </c>
      <c r="AB53" s="118">
        <f t="shared" si="14"/>
        <v>0.56563443126514046</v>
      </c>
      <c r="AC53" s="118">
        <f t="shared" si="15"/>
        <v>0.11412087866375344</v>
      </c>
      <c r="AD53" s="118"/>
      <c r="AM53" s="118">
        <f t="shared" si="16"/>
        <v>0.42184721679110693</v>
      </c>
      <c r="AN53" s="118">
        <f t="shared" si="17"/>
        <v>0.56563443126514046</v>
      </c>
      <c r="AO53" s="118">
        <f t="shared" si="18"/>
        <v>0.11412087866375344</v>
      </c>
      <c r="AP53" s="118"/>
      <c r="BA53" s="118">
        <f t="shared" si="19"/>
        <v>0.42184721679110693</v>
      </c>
      <c r="BB53" s="118">
        <f t="shared" si="20"/>
        <v>0.56563443126514046</v>
      </c>
      <c r="BC53" s="118">
        <f t="shared" si="21"/>
        <v>0.11412087866375344</v>
      </c>
    </row>
    <row r="54" spans="1:58" x14ac:dyDescent="0.55000000000000004">
      <c r="A54" s="40" t="s">
        <v>409</v>
      </c>
      <c r="B54" s="175">
        <f>B45</f>
        <v>3.3202633386189007</v>
      </c>
      <c r="C54" s="123" t="s">
        <v>394</v>
      </c>
      <c r="AA54" s="118">
        <f t="shared" si="13"/>
        <v>0.40562232383760277</v>
      </c>
      <c r="AB54" s="118">
        <f t="shared" si="14"/>
        <v>0.54387926083186566</v>
      </c>
      <c r="AC54" s="118">
        <f t="shared" si="15"/>
        <v>0.10973161409976291</v>
      </c>
      <c r="AD54" s="118"/>
      <c r="AM54" s="118">
        <f t="shared" si="16"/>
        <v>0.40562232383760277</v>
      </c>
      <c r="AN54" s="118">
        <f t="shared" si="17"/>
        <v>0.54387926083186566</v>
      </c>
      <c r="AO54" s="118">
        <f t="shared" si="18"/>
        <v>0.10973161409976291</v>
      </c>
      <c r="AP54" s="118"/>
      <c r="BA54" s="118">
        <f t="shared" si="19"/>
        <v>0.40562232383760277</v>
      </c>
      <c r="BB54" s="118">
        <f t="shared" si="20"/>
        <v>0.54387926083186566</v>
      </c>
      <c r="BC54" s="118">
        <f t="shared" si="21"/>
        <v>0.10973161409976291</v>
      </c>
    </row>
    <row r="55" spans="1:58" ht="14.7" thickBot="1" x14ac:dyDescent="0.6">
      <c r="A55" s="86" t="s">
        <v>408</v>
      </c>
      <c r="B55" s="181">
        <f>B46</f>
        <v>6.6405266772378013</v>
      </c>
      <c r="C55" s="173" t="s">
        <v>394</v>
      </c>
      <c r="AA55" s="118">
        <f t="shared" si="13"/>
        <v>0.3900214652284642</v>
      </c>
      <c r="AB55" s="118">
        <f t="shared" si="14"/>
        <v>0.52296082772294783</v>
      </c>
      <c r="AC55" s="118">
        <f t="shared" si="15"/>
        <v>0.10551116740361818</v>
      </c>
      <c r="AD55" s="118"/>
      <c r="AM55" s="118">
        <f t="shared" si="16"/>
        <v>0.3900214652284642</v>
      </c>
      <c r="AN55" s="118">
        <f t="shared" si="17"/>
        <v>0.52296082772294783</v>
      </c>
      <c r="AO55" s="118">
        <f t="shared" si="18"/>
        <v>0.10551116740361818</v>
      </c>
      <c r="AP55" s="118"/>
      <c r="BA55" s="118">
        <f t="shared" si="19"/>
        <v>0.3900214652284642</v>
      </c>
      <c r="BB55" s="118">
        <f t="shared" si="20"/>
        <v>0.52296082772294783</v>
      </c>
      <c r="BC55" s="118">
        <f t="shared" si="21"/>
        <v>0.10551116740361818</v>
      </c>
    </row>
    <row r="56" spans="1:58" x14ac:dyDescent="0.55000000000000004">
      <c r="AA56" s="118">
        <f t="shared" si="13"/>
        <v>0.37502063964275406</v>
      </c>
      <c r="AB56" s="118">
        <f t="shared" si="14"/>
        <v>0.50284694973360367</v>
      </c>
      <c r="AC56" s="118">
        <f t="shared" si="15"/>
        <v>0.10145304558040209</v>
      </c>
      <c r="AD56" s="118"/>
      <c r="AM56" s="118">
        <f t="shared" si="16"/>
        <v>0.37502063964275406</v>
      </c>
      <c r="AN56" s="118">
        <f t="shared" si="17"/>
        <v>0.50284694973360367</v>
      </c>
      <c r="AO56" s="118">
        <f t="shared" si="18"/>
        <v>0.10145304558040209</v>
      </c>
      <c r="BA56" s="118">
        <f t="shared" si="19"/>
        <v>0.37502063964275406</v>
      </c>
      <c r="BB56" s="118">
        <f t="shared" si="20"/>
        <v>0.50284694973360367</v>
      </c>
      <c r="BC56" s="118">
        <f t="shared" si="21"/>
        <v>0.10145304558040209</v>
      </c>
    </row>
    <row r="57" spans="1:58" ht="14.7" thickBot="1" x14ac:dyDescent="0.6">
      <c r="AA57" s="118">
        <f t="shared" si="13"/>
        <v>0.36059676888726344</v>
      </c>
      <c r="AB57" s="118">
        <f t="shared" si="14"/>
        <v>0.48350668243615724</v>
      </c>
      <c r="AC57" s="118">
        <f t="shared" si="15"/>
        <v>9.7551005365771229E-2</v>
      </c>
      <c r="AD57" s="118"/>
      <c r="AM57" s="118">
        <f t="shared" si="16"/>
        <v>0.36059676888726344</v>
      </c>
      <c r="AN57" s="118">
        <f t="shared" si="17"/>
        <v>0.48350668243615724</v>
      </c>
      <c r="AO57" s="118">
        <f t="shared" si="18"/>
        <v>9.7551005365771229E-2</v>
      </c>
      <c r="AP57" s="118">
        <f>(M22)/((1+0.04)^H22)</f>
        <v>1.4570431208619099</v>
      </c>
      <c r="BA57" s="118">
        <f t="shared" si="19"/>
        <v>0.36059676888726344</v>
      </c>
      <c r="BB57" s="118">
        <f t="shared" si="20"/>
        <v>0.48350668243615724</v>
      </c>
      <c r="BC57" s="118">
        <f t="shared" si="21"/>
        <v>9.7551005365771229E-2</v>
      </c>
      <c r="BD57">
        <f>(M22)/((1+0.04)^H22)</f>
        <v>1.4570431208619099</v>
      </c>
    </row>
    <row r="58" spans="1:58" x14ac:dyDescent="0.55000000000000004">
      <c r="Z58" t="s">
        <v>366</v>
      </c>
      <c r="AA58" s="118">
        <f>SUM(AA37:AA57)</f>
        <v>11.527990843729283</v>
      </c>
      <c r="AB58" s="118">
        <f>SUM(AB37:AB57)</f>
        <v>15.457322663222609</v>
      </c>
      <c r="AC58" s="118">
        <f>SUM(AC37:AC57)</f>
        <v>3.1186277684168049</v>
      </c>
      <c r="AD58" s="118"/>
      <c r="AL58" s="57" t="s">
        <v>367</v>
      </c>
      <c r="AM58" s="118">
        <f>SUM(AM37:AM57)</f>
        <v>11.527990843729283</v>
      </c>
      <c r="AN58" s="118">
        <f t="shared" ref="AN58:AP58" si="22">SUM(AN37:AN57)</f>
        <v>15.457322663222609</v>
      </c>
      <c r="AO58" s="118">
        <f t="shared" si="22"/>
        <v>3.1186277684168049</v>
      </c>
      <c r="AP58" s="118">
        <f t="shared" si="22"/>
        <v>5.7706026259327725</v>
      </c>
      <c r="AZ58" s="57" t="s">
        <v>367</v>
      </c>
      <c r="BA58" s="118">
        <f>AM58</f>
        <v>11.527990843729283</v>
      </c>
      <c r="BB58" s="118">
        <f t="shared" si="20"/>
        <v>15.457322663222609</v>
      </c>
      <c r="BC58" s="118">
        <f t="shared" si="21"/>
        <v>3.1186277684168049</v>
      </c>
      <c r="BD58" s="118">
        <f t="shared" si="21"/>
        <v>5.7706026259327725</v>
      </c>
    </row>
    <row r="59" spans="1:58" ht="14.7" thickBot="1" x14ac:dyDescent="0.6">
      <c r="Z59">
        <f>Q22</f>
        <v>7111007.3305076165</v>
      </c>
      <c r="AL59" s="118">
        <f>AE2</f>
        <v>4750545.6773609668</v>
      </c>
      <c r="AZ59" s="118">
        <f>Z59</f>
        <v>7111007.3305076165</v>
      </c>
    </row>
    <row r="60" spans="1:58" ht="14.7" thickBot="1" x14ac:dyDescent="0.6">
      <c r="K60" t="s">
        <v>386</v>
      </c>
      <c r="L60" t="s">
        <v>393</v>
      </c>
      <c r="M60" t="s">
        <v>389</v>
      </c>
      <c r="N60" t="s">
        <v>390</v>
      </c>
      <c r="O60" t="s">
        <v>391</v>
      </c>
      <c r="P60" t="s">
        <v>392</v>
      </c>
      <c r="W60" s="337" t="s">
        <v>355</v>
      </c>
      <c r="X60" s="338"/>
      <c r="Y60" s="338"/>
      <c r="Z60" s="339"/>
      <c r="AA60" s="332" t="s">
        <v>356</v>
      </c>
      <c r="AB60" s="333"/>
      <c r="AC60" s="333"/>
      <c r="AD60" s="334" t="s">
        <v>346</v>
      </c>
      <c r="AH60" s="234"/>
      <c r="AI60" s="337" t="s">
        <v>353</v>
      </c>
      <c r="AJ60" s="338"/>
      <c r="AK60" s="339"/>
      <c r="AL60" s="332" t="s">
        <v>354</v>
      </c>
      <c r="AM60" s="333"/>
      <c r="AN60" s="333"/>
      <c r="AO60" s="333"/>
      <c r="AP60" s="232"/>
      <c r="AR60" s="334" t="s">
        <v>369</v>
      </c>
      <c r="AV60" s="337" t="s">
        <v>362</v>
      </c>
      <c r="AW60" s="338"/>
      <c r="AX60" s="338"/>
      <c r="AY60" s="339"/>
      <c r="BA60" s="332" t="s">
        <v>354</v>
      </c>
      <c r="BB60" s="333"/>
      <c r="BC60" s="333"/>
      <c r="BD60" s="333"/>
      <c r="BE60" s="232"/>
      <c r="BF60" s="334" t="s">
        <v>370</v>
      </c>
    </row>
    <row r="61" spans="1:58" ht="16.8" x14ac:dyDescent="0.55000000000000004">
      <c r="K61" s="204">
        <f>I26</f>
        <v>23.13779136826631</v>
      </c>
      <c r="L61" s="204">
        <f t="shared" ref="L61:P61" si="23">K26</f>
        <v>4.6682184381513157</v>
      </c>
      <c r="M61" s="204">
        <f t="shared" si="23"/>
        <v>17.256044455365139</v>
      </c>
      <c r="N61" s="204">
        <f t="shared" si="23"/>
        <v>3.3202633386189007</v>
      </c>
      <c r="O61" s="204">
        <f t="shared" si="23"/>
        <v>6.6405266772378013</v>
      </c>
      <c r="P61" s="204">
        <f t="shared" si="23"/>
        <v>36.657586509675355</v>
      </c>
      <c r="W61" s="229" t="s">
        <v>359</v>
      </c>
      <c r="X61" s="229" t="s">
        <v>357</v>
      </c>
      <c r="Y61" s="229" t="s">
        <v>358</v>
      </c>
      <c r="Z61" s="229" t="s">
        <v>360</v>
      </c>
      <c r="AA61" s="45" t="s">
        <v>90</v>
      </c>
      <c r="AB61" s="45" t="s">
        <v>361</v>
      </c>
      <c r="AC61" s="45" t="s">
        <v>365</v>
      </c>
      <c r="AD61" s="334"/>
      <c r="AI61" s="229" t="s">
        <v>359</v>
      </c>
      <c r="AJ61" s="229" t="s">
        <v>357</v>
      </c>
      <c r="AK61" s="229" t="s">
        <v>358</v>
      </c>
      <c r="AL61" s="45" t="s">
        <v>90</v>
      </c>
      <c r="AM61" s="45" t="s">
        <v>361</v>
      </c>
      <c r="AN61" s="223" t="s">
        <v>365</v>
      </c>
      <c r="AO61" s="229" t="s">
        <v>360</v>
      </c>
      <c r="AR61" s="334"/>
      <c r="AV61" s="229" t="s">
        <v>359</v>
      </c>
      <c r="AW61" s="229" t="s">
        <v>357</v>
      </c>
      <c r="AX61" s="229" t="s">
        <v>358</v>
      </c>
      <c r="AY61" s="229"/>
      <c r="BA61" s="45" t="s">
        <v>90</v>
      </c>
      <c r="BB61" s="45" t="s">
        <v>361</v>
      </c>
      <c r="BC61" s="223" t="s">
        <v>365</v>
      </c>
      <c r="BD61" s="229" t="s">
        <v>360</v>
      </c>
      <c r="BF61" s="334"/>
    </row>
    <row r="62" spans="1:58" x14ac:dyDescent="0.55000000000000004">
      <c r="W62" s="112">
        <f>V37*10^6/Z59</f>
        <v>4.6691884627573357</v>
      </c>
      <c r="X62" s="112">
        <f>W37*10^6/Z59</f>
        <v>3.118826766617442E-2</v>
      </c>
      <c r="Y62" s="112">
        <f>X37*10^6/Z59</f>
        <v>0.45467160603468931</v>
      </c>
      <c r="Z62" s="112">
        <f>Y37*10^6/Z59</f>
        <v>1.4007565388272007</v>
      </c>
      <c r="AA62" s="112">
        <f>AA58*10^6/Z59</f>
        <v>1.6211473716630753</v>
      </c>
      <c r="AB62" s="112">
        <f>AB58*10^6/Z59</f>
        <v>2.1737177230724631</v>
      </c>
      <c r="AC62" s="112">
        <f>AC58*10^6/Z59</f>
        <v>0.43856343039294582</v>
      </c>
      <c r="AD62" s="230">
        <f>SUM(W62:Z62)+SUM(AA62:AC62)</f>
        <v>10.789233400413885</v>
      </c>
      <c r="AI62" s="112">
        <f>AH37*10^6/AL59</f>
        <v>6.9892251629993387</v>
      </c>
      <c r="AJ62" s="112">
        <f>AI37*10^6/AL59</f>
        <v>4.6685163150184394E-2</v>
      </c>
      <c r="AK62" s="112">
        <f>AJ37*10^6/AL59</f>
        <v>0.68058984021440794</v>
      </c>
      <c r="AL62" s="228">
        <f>AM58*10^6/$AL$59</f>
        <v>2.4266666666666676</v>
      </c>
      <c r="AM62" s="228">
        <f>AN58*10^6/$AL$59</f>
        <v>3.2537993975903614</v>
      </c>
      <c r="AN62" s="228">
        <f>AO58*10^6/$AL$59</f>
        <v>0.65647779859876465</v>
      </c>
      <c r="AO62" s="228">
        <f>AP58*10^6/$AL$59</f>
        <v>1.2147241638856254</v>
      </c>
      <c r="AR62" s="233">
        <f>SUM(AI62:AK62)+SUM(AL62:AO62)</f>
        <v>15.26816819310535</v>
      </c>
      <c r="AV62" s="204">
        <f>AV37*10^6/$AZ$59</f>
        <v>4.6691884627573357</v>
      </c>
      <c r="AW62" s="204">
        <f t="shared" ref="AW62:AX62" si="24">AW37*10^6/$AZ$59</f>
        <v>3.118826766617442E-2</v>
      </c>
      <c r="AX62" s="204">
        <f t="shared" si="24"/>
        <v>0.45467160603468931</v>
      </c>
      <c r="AY62" s="204"/>
      <c r="AZ62" s="204"/>
      <c r="BA62" s="204">
        <f>BA58*10^6/$AZ$59</f>
        <v>1.6211473716630753</v>
      </c>
      <c r="BB62" s="204">
        <f t="shared" ref="BB62:BD62" si="25">BB58*10^6/$AZ$59</f>
        <v>2.1737177230724631</v>
      </c>
      <c r="BC62" s="204">
        <f t="shared" si="25"/>
        <v>0.43856343039294582</v>
      </c>
      <c r="BD62" s="204">
        <f t="shared" si="25"/>
        <v>0.81150283746379437</v>
      </c>
      <c r="BE62" s="204"/>
      <c r="BF62" s="204">
        <f>SUM(AV62:AX62)+SUM(BA62:BD62)</f>
        <v>10.199979699050477</v>
      </c>
    </row>
    <row r="70" spans="1:42" ht="14.7" thickBot="1" x14ac:dyDescent="0.6"/>
    <row r="71" spans="1:42" ht="14.7" thickBot="1" x14ac:dyDescent="0.6">
      <c r="AH71" s="335" t="s">
        <v>371</v>
      </c>
      <c r="AI71" s="336"/>
      <c r="AJ71" s="336"/>
      <c r="AK71" s="336"/>
      <c r="AL71" s="336"/>
      <c r="AM71" s="336"/>
      <c r="AN71" s="336"/>
      <c r="AO71" s="238"/>
      <c r="AP71" s="239"/>
    </row>
    <row r="72" spans="1:42" ht="16.8" x14ac:dyDescent="0.55000000000000004">
      <c r="AH72" s="235" t="s">
        <v>359</v>
      </c>
      <c r="AI72" s="235" t="s">
        <v>357</v>
      </c>
      <c r="AJ72" s="235" t="s">
        <v>358</v>
      </c>
      <c r="AK72" s="237" t="s">
        <v>372</v>
      </c>
      <c r="AL72" s="236" t="s">
        <v>90</v>
      </c>
      <c r="AM72" s="236" t="s">
        <v>361</v>
      </c>
      <c r="AN72" s="236" t="s">
        <v>365</v>
      </c>
    </row>
    <row r="73" spans="1:42" x14ac:dyDescent="0.55000000000000004">
      <c r="AG73" t="s">
        <v>346</v>
      </c>
      <c r="AH73" s="204">
        <f>W62</f>
        <v>4.6691884627573357</v>
      </c>
      <c r="AI73" s="204">
        <f t="shared" ref="AI73:AN73" si="26">X62</f>
        <v>3.118826766617442E-2</v>
      </c>
      <c r="AJ73" s="204">
        <f t="shared" si="26"/>
        <v>0.45467160603468931</v>
      </c>
      <c r="AK73" s="204">
        <f t="shared" si="26"/>
        <v>1.4007565388272007</v>
      </c>
      <c r="AL73" s="204">
        <f t="shared" si="26"/>
        <v>1.6211473716630753</v>
      </c>
      <c r="AM73" s="204">
        <f t="shared" si="26"/>
        <v>2.1737177230724631</v>
      </c>
      <c r="AN73" s="204">
        <f t="shared" si="26"/>
        <v>0.43856343039294582</v>
      </c>
      <c r="AO73" s="204">
        <f>SUM(AH73:AN73)-$AD$62</f>
        <v>0</v>
      </c>
    </row>
    <row r="74" spans="1:42" ht="14.7" thickBot="1" x14ac:dyDescent="0.6">
      <c r="AG74" t="s">
        <v>369</v>
      </c>
      <c r="AH74" s="204">
        <f>AI62</f>
        <v>6.9892251629993387</v>
      </c>
      <c r="AI74" s="204">
        <f t="shared" ref="AI74:AJ74" si="27">AJ62</f>
        <v>4.6685163150184394E-2</v>
      </c>
      <c r="AJ74" s="204">
        <f t="shared" si="27"/>
        <v>0.68058984021440794</v>
      </c>
      <c r="AK74" s="204">
        <f>AO62</f>
        <v>1.2147241638856254</v>
      </c>
      <c r="AL74" s="204">
        <f>AL62</f>
        <v>2.4266666666666676</v>
      </c>
      <c r="AM74" s="204">
        <f t="shared" ref="AM74:AN74" si="28">AM62</f>
        <v>3.2537993975903614</v>
      </c>
      <c r="AN74" s="204">
        <f t="shared" si="28"/>
        <v>0.65647779859876465</v>
      </c>
      <c r="AO74" s="204">
        <f>SUM(AH74:AN74)-$AR$62</f>
        <v>0</v>
      </c>
    </row>
    <row r="75" spans="1:42" x14ac:dyDescent="0.55000000000000004">
      <c r="A75" s="200" t="s">
        <v>405</v>
      </c>
      <c r="B75" s="248">
        <f>B38</f>
        <v>0.82171640263643531</v>
      </c>
      <c r="C75" s="201" t="s">
        <v>395</v>
      </c>
      <c r="AG75" t="s">
        <v>370</v>
      </c>
      <c r="AH75" s="204">
        <f>AV62</f>
        <v>4.6691884627573357</v>
      </c>
      <c r="AI75" s="204">
        <f t="shared" ref="AI75:AJ75" si="29">AW62</f>
        <v>3.118826766617442E-2</v>
      </c>
      <c r="AJ75" s="204">
        <f t="shared" si="29"/>
        <v>0.45467160603468931</v>
      </c>
      <c r="AK75" s="204">
        <f>BD62</f>
        <v>0.81150283746379437</v>
      </c>
      <c r="AL75" s="204">
        <f>BA62</f>
        <v>1.6211473716630753</v>
      </c>
      <c r="AM75" s="204">
        <f t="shared" ref="AM75:AN75" si="30">BB62</f>
        <v>2.1737177230724631</v>
      </c>
      <c r="AN75" s="204">
        <f t="shared" si="30"/>
        <v>0.43856343039294582</v>
      </c>
      <c r="AO75" s="204">
        <f>SUM(AH75:AN75)-BF62</f>
        <v>0</v>
      </c>
    </row>
    <row r="76" spans="1:42" x14ac:dyDescent="0.55000000000000004">
      <c r="A76" s="40" t="s">
        <v>404</v>
      </c>
      <c r="B76" s="246">
        <f>B41</f>
        <v>1.8000000000000002E-2</v>
      </c>
      <c r="C76" s="123" t="s">
        <v>395</v>
      </c>
    </row>
    <row r="77" spans="1:42" ht="16.8" x14ac:dyDescent="0.55000000000000004">
      <c r="A77" s="40" t="s">
        <v>406</v>
      </c>
      <c r="B77" s="246">
        <f>B42</f>
        <v>0.19865671272529209</v>
      </c>
      <c r="C77" s="123" t="s">
        <v>395</v>
      </c>
    </row>
    <row r="78" spans="1:42" x14ac:dyDescent="0.55000000000000004">
      <c r="A78" s="40" t="s">
        <v>403</v>
      </c>
      <c r="B78" s="246">
        <f>B44</f>
        <v>5.63940337715149E-3</v>
      </c>
      <c r="C78" s="123" t="s">
        <v>395</v>
      </c>
    </row>
    <row r="79" spans="1:42" ht="14.7" thickBot="1" x14ac:dyDescent="0.6">
      <c r="A79" s="86" t="s">
        <v>407</v>
      </c>
      <c r="B79" s="247">
        <f>B47</f>
        <v>1.1017995889650625</v>
      </c>
      <c r="C79" s="173" t="s">
        <v>395</v>
      </c>
    </row>
  </sheetData>
  <mergeCells count="22">
    <mergeCell ref="AH71:AN71"/>
    <mergeCell ref="AH32:AQ33"/>
    <mergeCell ref="AR60:AR61"/>
    <mergeCell ref="BF60:BF61"/>
    <mergeCell ref="AI60:AK60"/>
    <mergeCell ref="AL60:AO60"/>
    <mergeCell ref="BA35:BD35"/>
    <mergeCell ref="AV60:AY60"/>
    <mergeCell ref="BA60:BD60"/>
    <mergeCell ref="AV35:AY35"/>
    <mergeCell ref="AM35:AQ35"/>
    <mergeCell ref="R1:R22"/>
    <mergeCell ref="A36:C36"/>
    <mergeCell ref="Z35:Z36"/>
    <mergeCell ref="V35:Y35"/>
    <mergeCell ref="AA35:AC35"/>
    <mergeCell ref="I24:O24"/>
    <mergeCell ref="AA60:AC60"/>
    <mergeCell ref="AD60:AD61"/>
    <mergeCell ref="W60:Z60"/>
    <mergeCell ref="AH35:AK35"/>
    <mergeCell ref="AL35:AL36"/>
  </mergeCells>
  <pageMargins left="0.7" right="0.7" top="0.75" bottom="0.75" header="0.3" footer="0.3"/>
  <pageSetup paperSize="9" orientation="portrait" verticalDpi="0"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7214F-49E0-4450-9AE2-107583ACCC86}">
  <dimension ref="A1:BF75"/>
  <sheetViews>
    <sheetView topLeftCell="AE56" zoomScale="94" zoomScaleNormal="175" workbookViewId="0">
      <selection activeCell="AG73" sqref="AG73:AN75"/>
    </sheetView>
  </sheetViews>
  <sheetFormatPr defaultRowHeight="14.4" x14ac:dyDescent="0.55000000000000004"/>
  <cols>
    <col min="1" max="1" width="28.15625" bestFit="1" customWidth="1"/>
    <col min="2" max="2" width="11.20703125" bestFit="1" customWidth="1"/>
    <col min="7" max="7" width="15.83984375" bestFit="1" customWidth="1"/>
    <col min="8" max="8" width="5.7890625" bestFit="1" customWidth="1"/>
    <col min="9" max="9" width="21.89453125" customWidth="1"/>
    <col min="10" max="10" width="16.62890625" bestFit="1" customWidth="1"/>
    <col min="11" max="11" width="45.83984375" bestFit="1" customWidth="1"/>
    <col min="12" max="12" width="19.578125" bestFit="1" customWidth="1"/>
    <col min="13" max="13" width="22.26171875" bestFit="1" customWidth="1"/>
    <col min="14" max="14" width="33.83984375" bestFit="1" customWidth="1"/>
    <col min="15" max="15" width="34.68359375" bestFit="1" customWidth="1"/>
    <col min="16" max="16" width="25.68359375" bestFit="1" customWidth="1"/>
    <col min="17" max="17" width="26.20703125" bestFit="1" customWidth="1"/>
    <col min="18" max="18" width="16.62890625" customWidth="1"/>
    <col min="19" max="21" width="15.05078125" customWidth="1"/>
    <col min="22" max="28" width="17" customWidth="1"/>
    <col min="29" max="29" width="28.83984375" bestFit="1" customWidth="1"/>
    <col min="30" max="30" width="28.9453125" bestFit="1" customWidth="1"/>
    <col min="31" max="31" width="19.5234375" bestFit="1" customWidth="1"/>
    <col min="32" max="32" width="11.578125" bestFit="1" customWidth="1"/>
    <col min="34" max="34" width="12.578125" bestFit="1" customWidth="1"/>
    <col min="35" max="36" width="14.89453125" bestFit="1" customWidth="1"/>
    <col min="37" max="37" width="29.20703125" bestFit="1" customWidth="1"/>
    <col min="38" max="38" width="13.734375" bestFit="1" customWidth="1"/>
    <col min="39" max="39" width="10.578125" bestFit="1" customWidth="1"/>
    <col min="40" max="40" width="10.578125" customWidth="1"/>
    <col min="41" max="43" width="16" bestFit="1" customWidth="1"/>
    <col min="48" max="48" width="12.578125" bestFit="1" customWidth="1"/>
    <col min="49" max="49" width="14.89453125" bestFit="1" customWidth="1"/>
    <col min="50" max="50" width="10.41796875" bestFit="1" customWidth="1"/>
    <col min="52" max="52" width="13.734375" bestFit="1" customWidth="1"/>
    <col min="53" max="53" width="10.05078125" bestFit="1" customWidth="1"/>
    <col min="54" max="54" width="10.578125" bestFit="1" customWidth="1"/>
    <col min="55" max="55" width="10.20703125" customWidth="1"/>
    <col min="56" max="57" width="16" bestFit="1" customWidth="1"/>
  </cols>
  <sheetData>
    <row r="1" spans="1:33" s="222" customFormat="1" ht="26.7" customHeight="1" thickBot="1" x14ac:dyDescent="0.6">
      <c r="A1" s="224" t="s">
        <v>188</v>
      </c>
      <c r="G1" s="225" t="s">
        <v>77</v>
      </c>
      <c r="H1" s="225" t="s">
        <v>78</v>
      </c>
      <c r="I1" s="224" t="s">
        <v>257</v>
      </c>
      <c r="J1" s="224" t="s">
        <v>181</v>
      </c>
      <c r="K1" s="224" t="s">
        <v>79</v>
      </c>
      <c r="L1" s="225" t="s">
        <v>258</v>
      </c>
      <c r="M1" s="225" t="s">
        <v>81</v>
      </c>
      <c r="N1" s="225" t="s">
        <v>82</v>
      </c>
      <c r="O1" s="224" t="s">
        <v>83</v>
      </c>
      <c r="P1" s="225" t="s">
        <v>84</v>
      </c>
      <c r="Q1" s="221" t="s">
        <v>85</v>
      </c>
      <c r="R1" s="340" t="s">
        <v>261</v>
      </c>
      <c r="S1" s="226" t="s">
        <v>342</v>
      </c>
      <c r="T1" s="226" t="s">
        <v>343</v>
      </c>
      <c r="U1" s="226"/>
      <c r="V1" s="226" t="s">
        <v>344</v>
      </c>
      <c r="W1" s="226" t="s">
        <v>94</v>
      </c>
      <c r="X1" s="222" t="s">
        <v>260</v>
      </c>
      <c r="Y1" s="222" t="s">
        <v>297</v>
      </c>
      <c r="Z1" s="227" t="s">
        <v>298</v>
      </c>
      <c r="AA1" s="222" t="s">
        <v>313</v>
      </c>
      <c r="AB1" s="222" t="s">
        <v>295</v>
      </c>
      <c r="AC1" s="222" t="s">
        <v>312</v>
      </c>
      <c r="AD1" s="222" t="s">
        <v>299</v>
      </c>
      <c r="AE1" s="225" t="s">
        <v>293</v>
      </c>
      <c r="AF1" s="227" t="s">
        <v>294</v>
      </c>
      <c r="AG1" s="227" t="s">
        <v>296</v>
      </c>
    </row>
    <row r="2" spans="1:33" ht="14.7" thickBot="1" x14ac:dyDescent="0.6">
      <c r="A2" s="21" t="s">
        <v>171</v>
      </c>
      <c r="B2" s="139">
        <f>'polarization curve'!X17*'contributi LCOH 0,16'!B3/10^6+'output H2 PROVA'!K13*'contributi LCOH 0,16'!B3/10^6</f>
        <v>1.4690661186200833</v>
      </c>
      <c r="G2" s="138">
        <f>B15+B19+B28</f>
        <v>36.657586509675355</v>
      </c>
      <c r="H2" s="40">
        <v>1</v>
      </c>
      <c r="I2" s="174">
        <f>$B$2</f>
        <v>1.4690661186200833</v>
      </c>
      <c r="J2" s="174">
        <f>$B$25</f>
        <v>0.19865671272529209</v>
      </c>
      <c r="K2" s="122">
        <f>$B$20+$B$29+$B$25</f>
        <v>0.2222961161024436</v>
      </c>
      <c r="L2" s="124">
        <f>$B$12</f>
        <v>0.82171640263643531</v>
      </c>
      <c r="M2" s="60"/>
      <c r="N2" s="40"/>
      <c r="O2" s="57">
        <f>'polarization curve'!$AB$17</f>
        <v>338619.39669083874</v>
      </c>
      <c r="P2" s="179">
        <f>G2+K2+L2+M2+N2+I2</f>
        <v>39.170665147034313</v>
      </c>
      <c r="Q2" s="40">
        <f>O2</f>
        <v>338619.39669083874</v>
      </c>
      <c r="R2" s="341"/>
      <c r="S2" s="177">
        <f t="shared" ref="S2:S22" si="0">(K2+L2)/(1+0.04)^H2</f>
        <v>1.0038581910950759</v>
      </c>
      <c r="T2" s="177">
        <f t="shared" ref="T2:T22" si="1">(I2)/(1+0.04)^H2</f>
        <v>1.4125635755962338</v>
      </c>
      <c r="U2" s="177"/>
      <c r="V2" s="177">
        <f t="shared" ref="V2:V22" si="2">SUM(S2:T2)</f>
        <v>2.4164217666913097</v>
      </c>
      <c r="W2" s="169">
        <f t="shared" ref="W2:W22" si="3">(I2+K2+L2)/(1+0.04)^H2</f>
        <v>2.4164217666913097</v>
      </c>
      <c r="X2" s="177">
        <f>SUM(W2:W22)</f>
        <v>35.256382163109571</v>
      </c>
      <c r="Y2" s="177">
        <f>G2+N12+M22</f>
        <v>46.618376525532057</v>
      </c>
      <c r="Z2" s="207">
        <f>(Y2+X2)*10^6/Q22</f>
        <v>11.513805974771374</v>
      </c>
      <c r="AA2" s="177">
        <f>G2</f>
        <v>36.657586509675355</v>
      </c>
      <c r="AB2" s="177">
        <f>(I2+K2+L2+M2+N2)/((1+0.04)^H2)</f>
        <v>2.4164217666913097</v>
      </c>
      <c r="AC2" s="177">
        <f>SUM(AB2:AB22)</f>
        <v>41.026984789042338</v>
      </c>
      <c r="AD2" s="112">
        <f t="shared" ref="AD2:AD22" si="4">($Q$2)/((1+0.04)^H2)</f>
        <v>325595.57374119107</v>
      </c>
      <c r="AE2" s="112">
        <f>SUM(AD2:AD22)</f>
        <v>4750545.6773609668</v>
      </c>
      <c r="AF2" s="208">
        <f>(AC2+AA2)*10^6/AE2</f>
        <v>16.352767992302137</v>
      </c>
      <c r="AG2" s="66">
        <f>(AA2+AC2)*10^6/(Q22)</f>
        <v>10.924552273407967</v>
      </c>
    </row>
    <row r="3" spans="1:33" ht="14.7" thickBot="1" x14ac:dyDescent="0.6">
      <c r="A3" s="16" t="s">
        <v>255</v>
      </c>
      <c r="B3" s="13">
        <v>160</v>
      </c>
      <c r="D3">
        <v>1</v>
      </c>
      <c r="E3">
        <v>2</v>
      </c>
      <c r="F3">
        <v>3</v>
      </c>
      <c r="H3" s="40">
        <v>2</v>
      </c>
      <c r="I3" s="174">
        <f t="shared" ref="I3:I22" si="5">$B$2</f>
        <v>1.4690661186200833</v>
      </c>
      <c r="J3" s="174">
        <f t="shared" ref="J3:J22" si="6">$B$25</f>
        <v>0.19865671272529209</v>
      </c>
      <c r="K3" s="146">
        <f t="shared" ref="K3:K22" si="7">$B$20+$B$29+$B$25</f>
        <v>0.2222961161024436</v>
      </c>
      <c r="L3" s="124">
        <f t="shared" ref="L3:L22" si="8">$B$12</f>
        <v>0.82171640263643531</v>
      </c>
      <c r="M3" s="60"/>
      <c r="N3" s="40"/>
      <c r="O3" s="60">
        <f>'polarization curve'!$AB$17</f>
        <v>338619.39669083874</v>
      </c>
      <c r="P3" s="179">
        <f t="shared" ref="P3:P22" si="9">P2+K3+L3+M3+N3+I3</f>
        <v>41.683743784393272</v>
      </c>
      <c r="Q3" s="40">
        <f>O3+Q2</f>
        <v>677238.79338167747</v>
      </c>
      <c r="R3" s="341"/>
      <c r="S3" s="177">
        <f t="shared" si="0"/>
        <v>0.96524826066834213</v>
      </c>
      <c r="T3" s="177">
        <f t="shared" si="1"/>
        <v>1.358234207304071</v>
      </c>
      <c r="U3" s="177"/>
      <c r="V3" s="177">
        <f t="shared" si="2"/>
        <v>2.3234824679724131</v>
      </c>
      <c r="W3" s="169">
        <f t="shared" si="3"/>
        <v>2.3234824679724131</v>
      </c>
      <c r="X3" s="177"/>
      <c r="Y3" s="177"/>
      <c r="Z3" s="177"/>
      <c r="AA3" s="177"/>
      <c r="AB3" s="177">
        <f t="shared" ref="AB3:AB21" si="10">(I3+K3+L3+M3+N3)/((1+0.04)^H3)</f>
        <v>2.3234824679724131</v>
      </c>
      <c r="AC3" s="177"/>
      <c r="AD3" s="112">
        <f t="shared" si="4"/>
        <v>313072.66705883754</v>
      </c>
    </row>
    <row r="4" spans="1:33" x14ac:dyDescent="0.55000000000000004">
      <c r="D4" s="204">
        <f>Z2</f>
        <v>11.513805974771374</v>
      </c>
      <c r="E4">
        <f>AF2</f>
        <v>16.352767992302137</v>
      </c>
      <c r="F4">
        <f>AG2</f>
        <v>10.924552273407967</v>
      </c>
      <c r="H4" s="40">
        <v>3</v>
      </c>
      <c r="I4" s="174">
        <f t="shared" si="5"/>
        <v>1.4690661186200833</v>
      </c>
      <c r="J4" s="174">
        <f t="shared" si="6"/>
        <v>0.19865671272529209</v>
      </c>
      <c r="K4" s="146">
        <f t="shared" si="7"/>
        <v>0.2222961161024436</v>
      </c>
      <c r="L4" s="124">
        <f t="shared" si="8"/>
        <v>0.82171640263643531</v>
      </c>
      <c r="M4" s="60"/>
      <c r="N4" s="40"/>
      <c r="O4" s="60">
        <f>'polarization curve'!$AB$17</f>
        <v>338619.39669083874</v>
      </c>
      <c r="P4" s="179">
        <f t="shared" si="9"/>
        <v>44.196822421752231</v>
      </c>
      <c r="Q4" s="40">
        <f>O4+Q3</f>
        <v>1015858.1900725162</v>
      </c>
      <c r="R4" s="341"/>
      <c r="S4" s="177">
        <f t="shared" si="0"/>
        <v>0.92812332756571359</v>
      </c>
      <c r="T4" s="177">
        <f t="shared" si="1"/>
        <v>1.3059944301000683</v>
      </c>
      <c r="U4" s="177"/>
      <c r="V4" s="177">
        <f t="shared" si="2"/>
        <v>2.234117757665782</v>
      </c>
      <c r="W4" s="169">
        <f t="shared" si="3"/>
        <v>2.234117757665782</v>
      </c>
      <c r="X4" s="177"/>
      <c r="Y4" s="177"/>
      <c r="Z4" s="177"/>
      <c r="AA4" s="177"/>
      <c r="AB4" s="177">
        <f t="shared" si="10"/>
        <v>2.234117757665782</v>
      </c>
      <c r="AC4" s="177"/>
      <c r="AD4" s="112">
        <f t="shared" si="4"/>
        <v>301031.41063349764</v>
      </c>
    </row>
    <row r="5" spans="1:33" x14ac:dyDescent="0.55000000000000004">
      <c r="A5" t="s">
        <v>302</v>
      </c>
      <c r="B5">
        <f>'polarization curve'!X17*1000</f>
        <v>8233528.9306411725</v>
      </c>
      <c r="C5">
        <f>B5/O2</f>
        <v>24.314994979919675</v>
      </c>
      <c r="H5" s="40">
        <v>4</v>
      </c>
      <c r="I5" s="174">
        <f t="shared" si="5"/>
        <v>1.4690661186200833</v>
      </c>
      <c r="J5" s="174">
        <f t="shared" si="6"/>
        <v>0.19865671272529209</v>
      </c>
      <c r="K5" s="146">
        <f t="shared" si="7"/>
        <v>0.2222961161024436</v>
      </c>
      <c r="L5" s="124">
        <f t="shared" si="8"/>
        <v>0.82171640263643531</v>
      </c>
      <c r="M5" s="60"/>
      <c r="N5" s="40"/>
      <c r="O5" s="60">
        <f>'polarization curve'!$AB$17</f>
        <v>338619.39669083874</v>
      </c>
      <c r="P5" s="179">
        <f t="shared" si="9"/>
        <v>46.709901059111189</v>
      </c>
      <c r="Q5" s="40">
        <f t="shared" ref="Q5:Q22" si="11">O5+Q4</f>
        <v>1354477.5867633549</v>
      </c>
      <c r="R5" s="341"/>
      <c r="S5" s="177">
        <f t="shared" si="0"/>
        <v>0.89242627650549367</v>
      </c>
      <c r="T5" s="177">
        <f t="shared" si="1"/>
        <v>1.2557638750962195</v>
      </c>
      <c r="U5" s="177"/>
      <c r="V5" s="177">
        <f t="shared" si="2"/>
        <v>2.148190151601713</v>
      </c>
      <c r="W5" s="169">
        <f t="shared" si="3"/>
        <v>2.148190151601713</v>
      </c>
      <c r="X5" s="177"/>
      <c r="Y5" s="177"/>
      <c r="Z5" s="177"/>
      <c r="AA5" s="177"/>
      <c r="AB5" s="177">
        <f t="shared" si="10"/>
        <v>2.148190151601713</v>
      </c>
      <c r="AC5" s="177"/>
      <c r="AD5" s="112">
        <f t="shared" si="4"/>
        <v>289453.27945528616</v>
      </c>
    </row>
    <row r="6" spans="1:33" x14ac:dyDescent="0.55000000000000004">
      <c r="H6" s="40">
        <v>5</v>
      </c>
      <c r="I6" s="174">
        <f t="shared" si="5"/>
        <v>1.4690661186200833</v>
      </c>
      <c r="J6" s="174">
        <f t="shared" si="6"/>
        <v>0.19865671272529209</v>
      </c>
      <c r="K6" s="146">
        <f t="shared" si="7"/>
        <v>0.2222961161024436</v>
      </c>
      <c r="L6" s="124">
        <f t="shared" si="8"/>
        <v>0.82171640263643531</v>
      </c>
      <c r="M6" s="60"/>
      <c r="N6" s="40"/>
      <c r="O6" s="60">
        <f>'polarization curve'!$AB$17</f>
        <v>338619.39669083874</v>
      </c>
      <c r="P6" s="179">
        <f t="shared" si="9"/>
        <v>49.222979696470148</v>
      </c>
      <c r="Q6" s="40">
        <f t="shared" si="11"/>
        <v>1693096.9834541937</v>
      </c>
      <c r="R6" s="341"/>
      <c r="S6" s="177">
        <f t="shared" si="0"/>
        <v>0.85810218894759005</v>
      </c>
      <c r="T6" s="177">
        <f t="shared" si="1"/>
        <v>1.2074652645155954</v>
      </c>
      <c r="U6" s="177"/>
      <c r="V6" s="177">
        <f t="shared" si="2"/>
        <v>2.0655674534631854</v>
      </c>
      <c r="W6" s="169">
        <f t="shared" si="3"/>
        <v>2.0655674534631854</v>
      </c>
      <c r="X6" s="177"/>
      <c r="Y6" s="177"/>
      <c r="Z6" s="177"/>
      <c r="AA6" s="177"/>
      <c r="AB6" s="177">
        <f t="shared" si="10"/>
        <v>2.0655674534631854</v>
      </c>
      <c r="AC6" s="177"/>
      <c r="AD6" s="112">
        <f t="shared" si="4"/>
        <v>278320.4610146982</v>
      </c>
    </row>
    <row r="7" spans="1:33" x14ac:dyDescent="0.55000000000000004">
      <c r="H7" s="40">
        <v>6</v>
      </c>
      <c r="I7" s="174">
        <f t="shared" si="5"/>
        <v>1.4690661186200833</v>
      </c>
      <c r="J7" s="174">
        <f t="shared" si="6"/>
        <v>0.19865671272529209</v>
      </c>
      <c r="K7" s="146">
        <f t="shared" si="7"/>
        <v>0.2222961161024436</v>
      </c>
      <c r="L7" s="124">
        <f t="shared" si="8"/>
        <v>0.82171640263643531</v>
      </c>
      <c r="M7" s="60"/>
      <c r="N7" s="40"/>
      <c r="O7" s="60">
        <f>'polarization curve'!$AB$17</f>
        <v>338619.39669083874</v>
      </c>
      <c r="P7" s="179">
        <f t="shared" si="9"/>
        <v>51.736058333829106</v>
      </c>
      <c r="Q7" s="40">
        <f t="shared" si="11"/>
        <v>2031716.3801450324</v>
      </c>
      <c r="R7" s="341"/>
      <c r="S7" s="177">
        <f t="shared" si="0"/>
        <v>0.82509825860345198</v>
      </c>
      <c r="T7" s="177">
        <f t="shared" si="1"/>
        <v>1.1610242928034571</v>
      </c>
      <c r="U7" s="177"/>
      <c r="V7" s="177">
        <f t="shared" si="2"/>
        <v>1.986122551406909</v>
      </c>
      <c r="W7" s="169">
        <f t="shared" si="3"/>
        <v>1.986122551406909</v>
      </c>
      <c r="X7" s="177"/>
      <c r="Y7" s="177"/>
      <c r="Z7" s="177"/>
      <c r="AA7" s="177"/>
      <c r="AB7" s="177">
        <f t="shared" si="10"/>
        <v>1.986122551406909</v>
      </c>
      <c r="AC7" s="177"/>
      <c r="AD7" s="112">
        <f t="shared" si="4"/>
        <v>267615.82789874828</v>
      </c>
    </row>
    <row r="8" spans="1:33" x14ac:dyDescent="0.55000000000000004">
      <c r="H8" s="40">
        <v>7</v>
      </c>
      <c r="I8" s="174">
        <f t="shared" si="5"/>
        <v>1.4690661186200833</v>
      </c>
      <c r="J8" s="174">
        <f t="shared" si="6"/>
        <v>0.19865671272529209</v>
      </c>
      <c r="K8" s="146">
        <f t="shared" si="7"/>
        <v>0.2222961161024436</v>
      </c>
      <c r="L8" s="124">
        <f t="shared" si="8"/>
        <v>0.82171640263643531</v>
      </c>
      <c r="M8" s="60"/>
      <c r="N8" s="40"/>
      <c r="O8" s="60">
        <f>'polarization curve'!$AB$17</f>
        <v>338619.39669083874</v>
      </c>
      <c r="P8" s="179">
        <f t="shared" si="9"/>
        <v>54.249136971188065</v>
      </c>
      <c r="Q8" s="40">
        <f t="shared" si="11"/>
        <v>2370335.7768358709</v>
      </c>
      <c r="R8" s="341"/>
      <c r="S8" s="177">
        <f t="shared" si="0"/>
        <v>0.7933637101956269</v>
      </c>
      <c r="T8" s="177">
        <f t="shared" si="1"/>
        <v>1.1163695123110167</v>
      </c>
      <c r="U8" s="177"/>
      <c r="V8" s="177">
        <f t="shared" si="2"/>
        <v>1.9097332225066435</v>
      </c>
      <c r="W8" s="169">
        <f t="shared" si="3"/>
        <v>1.9097332225066435</v>
      </c>
      <c r="X8" s="177"/>
      <c r="Y8" s="177"/>
      <c r="Z8" s="177"/>
      <c r="AA8" s="177"/>
      <c r="AB8" s="177">
        <f t="shared" si="10"/>
        <v>1.9097332225066435</v>
      </c>
      <c r="AC8" s="177"/>
      <c r="AD8" s="112">
        <f t="shared" si="4"/>
        <v>257322.91144110414</v>
      </c>
    </row>
    <row r="9" spans="1:33" x14ac:dyDescent="0.55000000000000004">
      <c r="H9" s="40">
        <v>8</v>
      </c>
      <c r="I9" s="174">
        <f t="shared" si="5"/>
        <v>1.4690661186200833</v>
      </c>
      <c r="J9" s="174">
        <f t="shared" si="6"/>
        <v>0.19865671272529209</v>
      </c>
      <c r="K9" s="146">
        <f t="shared" si="7"/>
        <v>0.2222961161024436</v>
      </c>
      <c r="L9" s="124">
        <f t="shared" si="8"/>
        <v>0.82171640263643531</v>
      </c>
      <c r="M9" s="60"/>
      <c r="N9" s="40"/>
      <c r="O9" s="60">
        <f>'polarization curve'!$AB$17</f>
        <v>338619.39669083874</v>
      </c>
      <c r="P9" s="179">
        <f t="shared" si="9"/>
        <v>56.762215608547024</v>
      </c>
      <c r="Q9" s="40">
        <f t="shared" si="11"/>
        <v>2708955.1735267099</v>
      </c>
      <c r="R9" s="341"/>
      <c r="S9" s="177">
        <f t="shared" si="0"/>
        <v>0.76284972134194884</v>
      </c>
      <c r="T9" s="177">
        <f t="shared" si="1"/>
        <v>1.0734322233759772</v>
      </c>
      <c r="U9" s="177"/>
      <c r="V9" s="177">
        <f t="shared" si="2"/>
        <v>1.8362819447179262</v>
      </c>
      <c r="W9" s="169">
        <f t="shared" si="3"/>
        <v>1.8362819447179262</v>
      </c>
      <c r="X9" s="177"/>
      <c r="Y9" s="177"/>
      <c r="Z9" s="177"/>
      <c r="AA9" s="177"/>
      <c r="AB9" s="177">
        <f t="shared" si="10"/>
        <v>1.8362819447179262</v>
      </c>
      <c r="AC9" s="177"/>
      <c r="AD9" s="112">
        <f t="shared" si="4"/>
        <v>247425.87638567702</v>
      </c>
    </row>
    <row r="10" spans="1:33" ht="14.7" thickBot="1" x14ac:dyDescent="0.6">
      <c r="H10" s="40">
        <v>9</v>
      </c>
      <c r="I10" s="174">
        <f t="shared" si="5"/>
        <v>1.4690661186200833</v>
      </c>
      <c r="J10" s="174">
        <f t="shared" si="6"/>
        <v>0.19865671272529209</v>
      </c>
      <c r="K10" s="146">
        <f t="shared" si="7"/>
        <v>0.2222961161024436</v>
      </c>
      <c r="L10" s="124">
        <f t="shared" si="8"/>
        <v>0.82171640263643531</v>
      </c>
      <c r="M10" s="60"/>
      <c r="N10" s="40"/>
      <c r="O10" s="60">
        <f>'polarization curve'!$AB$17</f>
        <v>338619.39669083874</v>
      </c>
      <c r="P10" s="179">
        <f t="shared" si="9"/>
        <v>59.275294245905982</v>
      </c>
      <c r="Q10" s="40">
        <f t="shared" si="11"/>
        <v>3047574.5702175489</v>
      </c>
      <c r="R10" s="341"/>
      <c r="S10" s="177">
        <f t="shared" si="0"/>
        <v>0.7335093474441815</v>
      </c>
      <c r="T10" s="177">
        <f t="shared" si="1"/>
        <v>1.0321463686307473</v>
      </c>
      <c r="U10" s="177"/>
      <c r="V10" s="177">
        <f t="shared" si="2"/>
        <v>1.7656557160749289</v>
      </c>
      <c r="W10" s="169">
        <f t="shared" si="3"/>
        <v>1.7656557160749289</v>
      </c>
      <c r="X10" s="177"/>
      <c r="Y10" s="177"/>
      <c r="Z10" s="177"/>
      <c r="AA10" s="177"/>
      <c r="AB10" s="177">
        <f t="shared" si="10"/>
        <v>1.7656557160749289</v>
      </c>
      <c r="AC10" s="177"/>
      <c r="AD10" s="112">
        <f t="shared" si="4"/>
        <v>237909.49652468943</v>
      </c>
    </row>
    <row r="11" spans="1:33" ht="14.7" thickBot="1" x14ac:dyDescent="0.6">
      <c r="A11" s="116" t="s">
        <v>90</v>
      </c>
      <c r="H11" s="40">
        <v>10</v>
      </c>
      <c r="I11" s="174">
        <f t="shared" si="5"/>
        <v>1.4690661186200833</v>
      </c>
      <c r="J11" s="174">
        <f t="shared" si="6"/>
        <v>0.19865671272529209</v>
      </c>
      <c r="K11" s="146">
        <f t="shared" si="7"/>
        <v>0.2222961161024436</v>
      </c>
      <c r="L11" s="124">
        <f t="shared" si="8"/>
        <v>0.82171640263643531</v>
      </c>
      <c r="M11" s="60"/>
      <c r="N11" s="40"/>
      <c r="O11" s="60">
        <f>'polarization curve'!$AB$17</f>
        <v>338619.39669083874</v>
      </c>
      <c r="P11" s="179">
        <f t="shared" si="9"/>
        <v>61.788372883264941</v>
      </c>
      <c r="Q11" s="40">
        <f t="shared" si="11"/>
        <v>3386193.9669083878</v>
      </c>
      <c r="R11" s="341"/>
      <c r="S11" s="177">
        <f t="shared" si="0"/>
        <v>0.70529744946555917</v>
      </c>
      <c r="T11" s="177">
        <f t="shared" si="1"/>
        <v>0.99244843137571859</v>
      </c>
      <c r="U11" s="177"/>
      <c r="V11" s="177">
        <f t="shared" si="2"/>
        <v>1.6977458808412778</v>
      </c>
      <c r="W11" s="169">
        <f t="shared" si="3"/>
        <v>1.6977458808412778</v>
      </c>
      <c r="X11" s="177"/>
      <c r="Y11" s="177"/>
      <c r="Z11" s="177"/>
      <c r="AA11" s="177"/>
      <c r="AB11" s="177">
        <f t="shared" si="10"/>
        <v>1.6977458808412778</v>
      </c>
      <c r="AC11" s="177"/>
      <c r="AD11" s="112">
        <f t="shared" si="4"/>
        <v>228759.13127373983</v>
      </c>
    </row>
    <row r="12" spans="1:33" ht="14.7" thickBot="1" x14ac:dyDescent="0.6">
      <c r="A12" s="16" t="s">
        <v>314</v>
      </c>
      <c r="B12" s="138">
        <f>'output H2 PROVA'!B12*'output H2 PROVA'!B13/10^6</f>
        <v>0.82171640263643531</v>
      </c>
      <c r="H12" s="40">
        <v>11</v>
      </c>
      <c r="I12" s="174">
        <f t="shared" si="5"/>
        <v>1.4690661186200833</v>
      </c>
      <c r="J12" s="174">
        <f t="shared" si="6"/>
        <v>0.19865671272529209</v>
      </c>
      <c r="K12" s="146">
        <f t="shared" si="7"/>
        <v>0.2222961161024436</v>
      </c>
      <c r="L12" s="124">
        <f t="shared" si="8"/>
        <v>0.82171640263643531</v>
      </c>
      <c r="M12" s="60"/>
      <c r="N12" s="40">
        <f>B31</f>
        <v>6.6405266772378013</v>
      </c>
      <c r="O12" s="60">
        <f>'polarization curve'!$AB$17</f>
        <v>338619.39669083874</v>
      </c>
      <c r="P12" s="179">
        <f t="shared" si="9"/>
        <v>70.941978197861687</v>
      </c>
      <c r="Q12" s="40">
        <f t="shared" si="11"/>
        <v>3724813.3635992268</v>
      </c>
      <c r="R12" s="341"/>
      <c r="S12" s="177">
        <f t="shared" si="0"/>
        <v>0.67817062448611465</v>
      </c>
      <c r="T12" s="177">
        <f t="shared" si="1"/>
        <v>0.95427733786126789</v>
      </c>
      <c r="U12" s="177"/>
      <c r="V12" s="177">
        <f t="shared" si="2"/>
        <v>1.6324479623473827</v>
      </c>
      <c r="W12" s="169">
        <f t="shared" si="3"/>
        <v>1.6324479623473827</v>
      </c>
      <c r="X12" s="177"/>
      <c r="Y12" s="177"/>
      <c r="Z12" s="177"/>
      <c r="AA12" s="177"/>
      <c r="AB12" s="177">
        <f>(I12+K12+L12+M12+N12)/((1+0.04)^H12)</f>
        <v>5.9460074674182453</v>
      </c>
      <c r="AC12" s="177"/>
      <c r="AD12" s="112">
        <f t="shared" si="4"/>
        <v>219960.70314782677</v>
      </c>
    </row>
    <row r="13" spans="1:33" ht="14.7" thickBot="1" x14ac:dyDescent="0.6">
      <c r="H13" s="40">
        <v>12</v>
      </c>
      <c r="I13" s="174">
        <f t="shared" si="5"/>
        <v>1.4690661186200833</v>
      </c>
      <c r="J13" s="174">
        <f t="shared" si="6"/>
        <v>0.19865671272529209</v>
      </c>
      <c r="K13" s="146">
        <f t="shared" si="7"/>
        <v>0.2222961161024436</v>
      </c>
      <c r="L13" s="124">
        <f t="shared" si="8"/>
        <v>0.82171640263643531</v>
      </c>
      <c r="M13" s="60"/>
      <c r="N13" s="40"/>
      <c r="O13" s="60">
        <f>'polarization curve'!$AB$17</f>
        <v>338619.39669083874</v>
      </c>
      <c r="P13" s="179">
        <f t="shared" si="9"/>
        <v>73.455056835220645</v>
      </c>
      <c r="Q13" s="40">
        <f t="shared" si="11"/>
        <v>4063432.7602900658</v>
      </c>
      <c r="R13" s="341"/>
      <c r="S13" s="177">
        <f t="shared" si="0"/>
        <v>0.6520871389289562</v>
      </c>
      <c r="T13" s="177">
        <f t="shared" si="1"/>
        <v>0.91757436332814202</v>
      </c>
      <c r="U13" s="177"/>
      <c r="V13" s="177">
        <f t="shared" si="2"/>
        <v>1.5696615022570981</v>
      </c>
      <c r="W13" s="169">
        <f t="shared" si="3"/>
        <v>1.5696615022570983</v>
      </c>
      <c r="X13" s="177"/>
      <c r="Y13" s="177"/>
      <c r="Z13" s="177"/>
      <c r="AA13" s="177"/>
      <c r="AB13" s="177">
        <f t="shared" si="10"/>
        <v>1.5696615022570983</v>
      </c>
      <c r="AC13" s="177"/>
      <c r="AD13" s="112">
        <f t="shared" si="4"/>
        <v>211500.67610367955</v>
      </c>
    </row>
    <row r="14" spans="1:33" ht="14.7" thickBot="1" x14ac:dyDescent="0.6">
      <c r="A14" s="116" t="s">
        <v>92</v>
      </c>
      <c r="H14" s="40">
        <v>13</v>
      </c>
      <c r="I14" s="174">
        <f t="shared" si="5"/>
        <v>1.4690661186200833</v>
      </c>
      <c r="J14" s="174">
        <f t="shared" si="6"/>
        <v>0.19865671272529209</v>
      </c>
      <c r="K14" s="146">
        <f t="shared" si="7"/>
        <v>0.2222961161024436</v>
      </c>
      <c r="L14" s="124">
        <f t="shared" si="8"/>
        <v>0.82171640263643531</v>
      </c>
      <c r="M14" s="60"/>
      <c r="N14" s="40"/>
      <c r="O14" s="60">
        <f>'polarization curve'!$AB$17</f>
        <v>338619.39669083874</v>
      </c>
      <c r="P14" s="179">
        <f t="shared" si="9"/>
        <v>75.968135472579604</v>
      </c>
      <c r="Q14" s="40">
        <f t="shared" si="11"/>
        <v>4402052.1569809048</v>
      </c>
      <c r="R14" s="341"/>
      <c r="S14" s="177">
        <f t="shared" si="0"/>
        <v>0.6270068643547656</v>
      </c>
      <c r="T14" s="177">
        <f t="shared" si="1"/>
        <v>0.88228304166167504</v>
      </c>
      <c r="U14" s="177"/>
      <c r="V14" s="177">
        <f t="shared" si="2"/>
        <v>1.5092899060164406</v>
      </c>
      <c r="W14" s="169">
        <f t="shared" si="3"/>
        <v>1.5092899060164406</v>
      </c>
      <c r="X14" s="177"/>
      <c r="Y14" s="177"/>
      <c r="Z14" s="177"/>
      <c r="AA14" s="177"/>
      <c r="AB14" s="177">
        <f t="shared" si="10"/>
        <v>1.5092899060164406</v>
      </c>
      <c r="AC14" s="177"/>
      <c r="AD14" s="112">
        <f t="shared" si="4"/>
        <v>203366.03471507647</v>
      </c>
    </row>
    <row r="15" spans="1:33" x14ac:dyDescent="0.55000000000000004">
      <c r="A15" s="7" t="s">
        <v>93</v>
      </c>
      <c r="B15" s="135">
        <f>'output H2 PROVA'!B15*'output H2 PROVA'!B14</f>
        <v>0.22177999999999998</v>
      </c>
      <c r="H15" s="40">
        <v>14</v>
      </c>
      <c r="I15" s="174">
        <f t="shared" si="5"/>
        <v>1.4690661186200833</v>
      </c>
      <c r="J15" s="174">
        <f t="shared" si="6"/>
        <v>0.19865671272529209</v>
      </c>
      <c r="K15" s="146">
        <f t="shared" si="7"/>
        <v>0.2222961161024436</v>
      </c>
      <c r="L15" s="124">
        <f t="shared" si="8"/>
        <v>0.82171640263643531</v>
      </c>
      <c r="M15" s="60"/>
      <c r="N15" s="40"/>
      <c r="O15" s="60">
        <f>'polarization curve'!$AB$17</f>
        <v>338619.39669083874</v>
      </c>
      <c r="P15" s="179">
        <f t="shared" si="9"/>
        <v>78.481214109938563</v>
      </c>
      <c r="Q15" s="40">
        <f t="shared" si="11"/>
        <v>4740671.5536717437</v>
      </c>
      <c r="R15" s="341"/>
      <c r="S15" s="177">
        <f t="shared" si="0"/>
        <v>0.60289121572573612</v>
      </c>
      <c r="T15" s="177">
        <f t="shared" si="1"/>
        <v>0.8483490785208414</v>
      </c>
      <c r="U15" s="177"/>
      <c r="V15" s="177">
        <f t="shared" si="2"/>
        <v>1.4512402942465776</v>
      </c>
      <c r="W15" s="169">
        <f t="shared" si="3"/>
        <v>1.4512402942465774</v>
      </c>
      <c r="X15" s="177"/>
      <c r="Y15" s="177"/>
      <c r="Z15" s="177"/>
      <c r="AA15" s="177"/>
      <c r="AB15" s="177">
        <f t="shared" si="10"/>
        <v>1.4512402942465774</v>
      </c>
      <c r="AC15" s="177"/>
      <c r="AD15" s="112">
        <f t="shared" si="4"/>
        <v>195544.26414911202</v>
      </c>
    </row>
    <row r="16" spans="1:33" ht="14.7" thickBot="1" x14ac:dyDescent="0.6">
      <c r="A16" s="16" t="s">
        <v>94</v>
      </c>
      <c r="B16" s="16"/>
      <c r="H16" s="40">
        <v>15</v>
      </c>
      <c r="I16" s="174">
        <f t="shared" si="5"/>
        <v>1.4690661186200833</v>
      </c>
      <c r="J16" s="174">
        <f t="shared" si="6"/>
        <v>0.19865671272529209</v>
      </c>
      <c r="K16" s="146">
        <f t="shared" si="7"/>
        <v>0.2222961161024436</v>
      </c>
      <c r="L16" s="124">
        <f t="shared" si="8"/>
        <v>0.82171640263643531</v>
      </c>
      <c r="M16" s="60"/>
      <c r="N16" s="40"/>
      <c r="O16" s="60">
        <f>'polarization curve'!$AB$17</f>
        <v>338619.39669083874</v>
      </c>
      <c r="P16" s="179">
        <f t="shared" si="9"/>
        <v>80.994292747297521</v>
      </c>
      <c r="Q16" s="40">
        <f t="shared" si="11"/>
        <v>5079290.9503625827</v>
      </c>
      <c r="R16" s="341"/>
      <c r="S16" s="177">
        <f t="shared" si="0"/>
        <v>0.57970309204397708</v>
      </c>
      <c r="T16" s="177">
        <f t="shared" si="1"/>
        <v>0.81572026780850138</v>
      </c>
      <c r="U16" s="177"/>
      <c r="V16" s="177">
        <f t="shared" si="2"/>
        <v>1.3954233598524786</v>
      </c>
      <c r="W16" s="169">
        <f t="shared" si="3"/>
        <v>1.3954233598524783</v>
      </c>
      <c r="X16" s="177"/>
      <c r="Y16" s="177"/>
      <c r="Z16" s="177"/>
      <c r="AA16" s="177"/>
      <c r="AB16" s="177">
        <f t="shared" si="10"/>
        <v>1.3954233598524783</v>
      </c>
      <c r="AC16" s="177"/>
      <c r="AD16" s="112">
        <f t="shared" si="4"/>
        <v>188023.33091260769</v>
      </c>
    </row>
    <row r="17" spans="1:43" ht="14.7" thickBot="1" x14ac:dyDescent="0.6">
      <c r="H17" s="40">
        <v>16</v>
      </c>
      <c r="I17" s="174">
        <f t="shared" si="5"/>
        <v>1.4690661186200833</v>
      </c>
      <c r="J17" s="174">
        <f t="shared" si="6"/>
        <v>0.19865671272529209</v>
      </c>
      <c r="K17" s="146">
        <f t="shared" si="7"/>
        <v>0.2222961161024436</v>
      </c>
      <c r="L17" s="124">
        <f t="shared" si="8"/>
        <v>0.82171640263643531</v>
      </c>
      <c r="M17" s="60"/>
      <c r="N17" s="40"/>
      <c r="O17" s="60">
        <f>'polarization curve'!$AB$17</f>
        <v>338619.39669083874</v>
      </c>
      <c r="P17" s="179">
        <f t="shared" si="9"/>
        <v>83.50737138465648</v>
      </c>
      <c r="Q17" s="40">
        <f t="shared" si="11"/>
        <v>5417910.3470534217</v>
      </c>
      <c r="R17" s="341"/>
      <c r="S17" s="177">
        <f t="shared" si="0"/>
        <v>0.5574068192730548</v>
      </c>
      <c r="T17" s="177">
        <f t="shared" si="1"/>
        <v>0.78434641135432803</v>
      </c>
      <c r="U17" s="177"/>
      <c r="V17" s="177">
        <f t="shared" si="2"/>
        <v>1.3417532306273827</v>
      </c>
      <c r="W17" s="169">
        <f t="shared" si="3"/>
        <v>1.3417532306273829</v>
      </c>
      <c r="X17" s="177"/>
      <c r="Y17" s="177"/>
      <c r="Z17" s="177"/>
      <c r="AA17" s="177"/>
      <c r="AB17" s="177">
        <f t="shared" si="10"/>
        <v>1.3417532306273829</v>
      </c>
      <c r="AC17" s="177"/>
      <c r="AD17" s="112">
        <f t="shared" si="4"/>
        <v>180791.66433904585</v>
      </c>
    </row>
    <row r="18" spans="1:43" ht="14.7" thickBot="1" x14ac:dyDescent="0.6">
      <c r="A18" s="116" t="s">
        <v>96</v>
      </c>
      <c r="H18" s="40">
        <v>17</v>
      </c>
      <c r="I18" s="174">
        <f t="shared" si="5"/>
        <v>1.4690661186200833</v>
      </c>
      <c r="J18" s="174">
        <f t="shared" si="6"/>
        <v>0.19865671272529209</v>
      </c>
      <c r="K18" s="146">
        <f t="shared" si="7"/>
        <v>0.2222961161024436</v>
      </c>
      <c r="L18" s="124">
        <f t="shared" si="8"/>
        <v>0.82171640263643531</v>
      </c>
      <c r="M18" s="60"/>
      <c r="N18" s="40"/>
      <c r="O18" s="60">
        <f>'polarization curve'!$AB$17</f>
        <v>338619.39669083874</v>
      </c>
      <c r="P18" s="179">
        <f t="shared" si="9"/>
        <v>86.020450022015439</v>
      </c>
      <c r="Q18" s="40">
        <f t="shared" si="11"/>
        <v>5756529.7437442606</v>
      </c>
      <c r="R18" s="341"/>
      <c r="S18" s="177">
        <f t="shared" si="0"/>
        <v>0.53596809545486035</v>
      </c>
      <c r="T18" s="177">
        <f t="shared" si="1"/>
        <v>0.75417924168685391</v>
      </c>
      <c r="U18" s="177"/>
      <c r="V18" s="177">
        <f t="shared" si="2"/>
        <v>1.2901473371417143</v>
      </c>
      <c r="W18" s="169">
        <f t="shared" si="3"/>
        <v>1.2901473371417143</v>
      </c>
      <c r="X18" s="177"/>
      <c r="Y18" s="177"/>
      <c r="Z18" s="177"/>
      <c r="AA18" s="177"/>
      <c r="AB18" s="177">
        <f t="shared" si="10"/>
        <v>1.2901473371417143</v>
      </c>
      <c r="AC18" s="177"/>
      <c r="AD18" s="112">
        <f t="shared" si="4"/>
        <v>173838.13878754407</v>
      </c>
    </row>
    <row r="19" spans="1:43" x14ac:dyDescent="0.55000000000000004">
      <c r="A19" s="7" t="s">
        <v>93</v>
      </c>
      <c r="B19" s="135">
        <f>'output H2 PROVA'!G16+'output H2 PROVA'!K17</f>
        <v>3.2331731234863463</v>
      </c>
      <c r="C19" t="s">
        <v>168</v>
      </c>
      <c r="H19" s="40">
        <v>18</v>
      </c>
      <c r="I19" s="174">
        <f t="shared" si="5"/>
        <v>1.4690661186200833</v>
      </c>
      <c r="J19" s="174">
        <f t="shared" si="6"/>
        <v>0.19865671272529209</v>
      </c>
      <c r="K19" s="146">
        <f t="shared" si="7"/>
        <v>0.2222961161024436</v>
      </c>
      <c r="L19" s="124">
        <f t="shared" si="8"/>
        <v>0.82171640263643531</v>
      </c>
      <c r="M19" s="60"/>
      <c r="N19" s="40"/>
      <c r="O19" s="60">
        <f>'polarization curve'!$AB$17</f>
        <v>338619.39669083874</v>
      </c>
      <c r="P19" s="179">
        <f t="shared" si="9"/>
        <v>88.533528659374397</v>
      </c>
      <c r="Q19" s="40">
        <f t="shared" si="11"/>
        <v>6095149.1404350996</v>
      </c>
      <c r="R19" s="341"/>
      <c r="S19" s="177">
        <f t="shared" si="0"/>
        <v>0.51535393793736572</v>
      </c>
      <c r="T19" s="177">
        <f t="shared" si="1"/>
        <v>0.72517234777582096</v>
      </c>
      <c r="U19" s="177"/>
      <c r="V19" s="177">
        <f t="shared" si="2"/>
        <v>1.2405262857131867</v>
      </c>
      <c r="W19" s="169">
        <f t="shared" si="3"/>
        <v>1.2405262857131867</v>
      </c>
      <c r="X19" s="177"/>
      <c r="Y19" s="177"/>
      <c r="Z19" s="177"/>
      <c r="AA19" s="177"/>
      <c r="AB19" s="177">
        <f t="shared" si="10"/>
        <v>1.2405262857131867</v>
      </c>
      <c r="AC19" s="177"/>
      <c r="AD19" s="112">
        <f t="shared" si="4"/>
        <v>167152.05652648467</v>
      </c>
    </row>
    <row r="20" spans="1:43" ht="14.7" thickBot="1" x14ac:dyDescent="0.6">
      <c r="A20" s="16" t="s">
        <v>94</v>
      </c>
      <c r="B20" s="16">
        <f>'output H2 PROVA'!G17*'output H2 PROVA'!G15/10^6+'output H2 PROVA'!K18</f>
        <v>1.8000000000000002E-2</v>
      </c>
      <c r="C20" t="s">
        <v>97</v>
      </c>
      <c r="H20" s="40">
        <v>19</v>
      </c>
      <c r="I20" s="174">
        <f t="shared" si="5"/>
        <v>1.4690661186200833</v>
      </c>
      <c r="J20" s="174">
        <f t="shared" si="6"/>
        <v>0.19865671272529209</v>
      </c>
      <c r="K20" s="146">
        <f t="shared" si="7"/>
        <v>0.2222961161024436</v>
      </c>
      <c r="L20" s="124">
        <f t="shared" si="8"/>
        <v>0.82171640263643531</v>
      </c>
      <c r="M20" s="60"/>
      <c r="N20" s="45"/>
      <c r="O20" s="60">
        <f>'polarization curve'!$AB$17</f>
        <v>338619.39669083874</v>
      </c>
      <c r="P20" s="179">
        <f t="shared" si="9"/>
        <v>91.046607296733356</v>
      </c>
      <c r="Q20" s="40">
        <f t="shared" si="11"/>
        <v>6433768.5371259386</v>
      </c>
      <c r="R20" s="341"/>
      <c r="S20" s="177">
        <f t="shared" si="0"/>
        <v>0.49553263263208241</v>
      </c>
      <c r="T20" s="177">
        <f t="shared" si="1"/>
        <v>0.69728110363059714</v>
      </c>
      <c r="U20" s="177"/>
      <c r="V20" s="177">
        <f t="shared" si="2"/>
        <v>1.1928137362626796</v>
      </c>
      <c r="W20" s="169">
        <f t="shared" si="3"/>
        <v>1.1928137362626794</v>
      </c>
      <c r="X20" s="177"/>
      <c r="Y20" s="177"/>
      <c r="Z20" s="177"/>
      <c r="AA20" s="177"/>
      <c r="AB20" s="177">
        <f t="shared" si="10"/>
        <v>1.1928137362626794</v>
      </c>
      <c r="AC20" s="177"/>
      <c r="AD20" s="112">
        <f t="shared" si="4"/>
        <v>160723.13127546603</v>
      </c>
    </row>
    <row r="21" spans="1:43" ht="14.7" thickBot="1" x14ac:dyDescent="0.6">
      <c r="H21" s="40">
        <v>20</v>
      </c>
      <c r="I21" s="174">
        <f t="shared" si="5"/>
        <v>1.4690661186200833</v>
      </c>
      <c r="J21" s="174">
        <f t="shared" si="6"/>
        <v>0.19865671272529209</v>
      </c>
      <c r="K21" s="146">
        <f t="shared" si="7"/>
        <v>0.2222961161024436</v>
      </c>
      <c r="L21" s="124">
        <f t="shared" si="8"/>
        <v>0.82171640263643531</v>
      </c>
      <c r="M21" s="60"/>
      <c r="N21" s="40"/>
      <c r="O21" s="60">
        <f>'polarization curve'!$AB$17</f>
        <v>338619.39669083874</v>
      </c>
      <c r="P21" s="179">
        <f t="shared" si="9"/>
        <v>93.559685934092315</v>
      </c>
      <c r="Q21" s="40">
        <f t="shared" si="11"/>
        <v>6772387.9338167775</v>
      </c>
      <c r="R21" s="341"/>
      <c r="S21" s="177">
        <f t="shared" si="0"/>
        <v>0.47647368522315614</v>
      </c>
      <c r="T21" s="177">
        <f t="shared" si="1"/>
        <v>0.67046259964480492</v>
      </c>
      <c r="U21" s="177"/>
      <c r="V21" s="177">
        <f t="shared" si="2"/>
        <v>1.146936284867961</v>
      </c>
      <c r="W21" s="169">
        <f t="shared" si="3"/>
        <v>1.146936284867961</v>
      </c>
      <c r="X21" s="177"/>
      <c r="Y21" s="177"/>
      <c r="Z21" s="177"/>
      <c r="AA21" s="177"/>
      <c r="AB21" s="177">
        <f t="shared" si="10"/>
        <v>1.146936284867961</v>
      </c>
      <c r="AC21" s="177"/>
      <c r="AD21" s="112">
        <f t="shared" si="4"/>
        <v>154541.47238025579</v>
      </c>
    </row>
    <row r="22" spans="1:43" ht="14.7" thickBot="1" x14ac:dyDescent="0.6">
      <c r="A22" s="128" t="s">
        <v>98</v>
      </c>
      <c r="B22" s="130"/>
      <c r="C22" s="130"/>
      <c r="G22" t="s">
        <v>218</v>
      </c>
      <c r="H22" s="86">
        <v>21</v>
      </c>
      <c r="I22" s="180">
        <f t="shared" si="5"/>
        <v>1.4690661186200833</v>
      </c>
      <c r="J22" s="174">
        <f t="shared" si="6"/>
        <v>0.19865671272529209</v>
      </c>
      <c r="K22" s="147">
        <f t="shared" si="7"/>
        <v>0.2222961161024436</v>
      </c>
      <c r="L22" s="125">
        <f t="shared" si="8"/>
        <v>0.82171640263643531</v>
      </c>
      <c r="M22" s="181">
        <f>B30</f>
        <v>3.3202633386189007</v>
      </c>
      <c r="N22" s="86"/>
      <c r="O22" s="58">
        <f>'polarization curve'!$AB$17</f>
        <v>338619.39669083874</v>
      </c>
      <c r="P22" s="182">
        <f t="shared" si="9"/>
        <v>99.393027910070174</v>
      </c>
      <c r="Q22" s="86">
        <f t="shared" si="11"/>
        <v>7111007.3305076165</v>
      </c>
      <c r="R22" s="342"/>
      <c r="S22" s="177">
        <f t="shared" si="0"/>
        <v>0.45814777425303466</v>
      </c>
      <c r="T22" s="177">
        <f t="shared" si="1"/>
        <v>0.64467557658154306</v>
      </c>
      <c r="U22" s="177"/>
      <c r="V22" s="177">
        <f t="shared" si="2"/>
        <v>1.1028233508345777</v>
      </c>
      <c r="W22" s="183">
        <f t="shared" si="3"/>
        <v>1.1028233508345777</v>
      </c>
      <c r="X22" s="178"/>
      <c r="Y22" s="178"/>
      <c r="Z22" s="178"/>
      <c r="AA22" s="178"/>
      <c r="AB22" s="177">
        <f>(I22+K22+L22+M22+N22)/((1+0.04)^H22)</f>
        <v>2.5598664716964876</v>
      </c>
      <c r="AC22" s="177"/>
      <c r="AD22" s="112">
        <f t="shared" si="4"/>
        <v>148597.56959639976</v>
      </c>
      <c r="AE22" s="176"/>
    </row>
    <row r="23" spans="1:43" x14ac:dyDescent="0.55000000000000004">
      <c r="A23" s="24" t="s">
        <v>185</v>
      </c>
      <c r="B23" s="132">
        <f>'output H2 PROVA'!R14</f>
        <v>2483.2089090661511</v>
      </c>
      <c r="C23" s="130"/>
      <c r="K23" s="146">
        <f>(K2-J2)*21+K26</f>
        <v>5.1646459090714973</v>
      </c>
      <c r="R23" s="228">
        <f>SUM(S2:S22)</f>
        <v>14.646618612146087</v>
      </c>
      <c r="S23" s="228">
        <f>SUM(T2:T22)</f>
        <v>20.609763550963482</v>
      </c>
      <c r="T23" s="228"/>
      <c r="U23" s="228">
        <f>SUM(V2:V22)</f>
        <v>35.256382163109571</v>
      </c>
    </row>
    <row r="24" spans="1:43" ht="14.7" thickBot="1" x14ac:dyDescent="0.6">
      <c r="A24" s="129" t="s">
        <v>186</v>
      </c>
      <c r="B24" s="133">
        <v>80</v>
      </c>
      <c r="C24" s="130"/>
    </row>
    <row r="25" spans="1:43" ht="17.100000000000001" thickBot="1" x14ac:dyDescent="0.8">
      <c r="A25" s="131" t="s">
        <v>187</v>
      </c>
      <c r="B25" s="134">
        <f>B23*B24/10^6</f>
        <v>0.19865671272529209</v>
      </c>
      <c r="I25" s="126" t="s">
        <v>328</v>
      </c>
      <c r="J25" s="148"/>
      <c r="K25" s="148" t="s">
        <v>348</v>
      </c>
      <c r="L25" s="87" t="s">
        <v>196</v>
      </c>
      <c r="M25" s="87" t="s">
        <v>81</v>
      </c>
      <c r="N25" s="87" t="s">
        <v>82</v>
      </c>
      <c r="O25" s="127" t="s">
        <v>347</v>
      </c>
    </row>
    <row r="26" spans="1:43" ht="14.7" thickBot="1" x14ac:dyDescent="0.6">
      <c r="I26" s="118">
        <f>SUM(I2:I22)</f>
        <v>30.850388491021761</v>
      </c>
      <c r="J26" s="117"/>
      <c r="K26" s="117">
        <f>SUM(K2:K22)</f>
        <v>4.6682184381513157</v>
      </c>
      <c r="L26" s="118">
        <f>SUM(L2:L22)</f>
        <v>17.256044455365139</v>
      </c>
      <c r="M26" s="118">
        <f>M22</f>
        <v>3.3202633386189007</v>
      </c>
      <c r="N26">
        <f>SUM(N2:N22)</f>
        <v>6.6405266772378013</v>
      </c>
      <c r="O26" s="118">
        <f>G2</f>
        <v>36.657586509675355</v>
      </c>
    </row>
    <row r="27" spans="1:43" ht="14.7" thickBot="1" x14ac:dyDescent="0.6">
      <c r="A27" s="116" t="s">
        <v>99</v>
      </c>
    </row>
    <row r="28" spans="1:43" x14ac:dyDescent="0.55000000000000004">
      <c r="A28" s="7" t="s">
        <v>77</v>
      </c>
      <c r="B28" s="135">
        <f>'costo electrolyser'!C5/10^6</f>
        <v>33.202633386189007</v>
      </c>
      <c r="AA28" t="s">
        <v>353</v>
      </c>
      <c r="AB28" t="s">
        <v>354</v>
      </c>
    </row>
    <row r="29" spans="1:43" x14ac:dyDescent="0.55000000000000004">
      <c r="A29" s="7" t="s">
        <v>87</v>
      </c>
      <c r="B29" s="143">
        <f>(6*'polarization curve'!Z17*1000)/(10^6)</f>
        <v>5.63940337715149E-3</v>
      </c>
      <c r="R29" t="s">
        <v>351</v>
      </c>
      <c r="S29" t="s">
        <v>352</v>
      </c>
      <c r="U29" t="s">
        <v>349</v>
      </c>
      <c r="W29" t="s">
        <v>350</v>
      </c>
      <c r="X29" t="s">
        <v>349</v>
      </c>
      <c r="Y29" t="s">
        <v>261</v>
      </c>
      <c r="AA29">
        <f>AA2*10^6/AE2</f>
        <v>7.7165001663639314</v>
      </c>
    </row>
    <row r="30" spans="1:43" x14ac:dyDescent="0.55000000000000004">
      <c r="A30" s="7" t="s">
        <v>81</v>
      </c>
      <c r="B30" s="136">
        <f>0.1*B28</f>
        <v>3.3202633386189007</v>
      </c>
      <c r="R30">
        <f>R23*10^6/Q22</f>
        <v>2.0597108020560211</v>
      </c>
      <c r="S30">
        <f>S23*10^6/Q22</f>
        <v>2.8982902974299511</v>
      </c>
      <c r="U30" s="204">
        <f>Y2*10^6/Q22</f>
        <v>6.5558048752854017</v>
      </c>
      <c r="W30" s="204">
        <f>X2*10^6/Q22</f>
        <v>4.9580010994859718</v>
      </c>
      <c r="X30" s="204">
        <f>Y2*10^6/Q22</f>
        <v>6.5558048752854017</v>
      </c>
      <c r="Y30" s="204">
        <f>SUM(W30:X30)</f>
        <v>11.513805974771373</v>
      </c>
    </row>
    <row r="31" spans="1:43" ht="14.7" thickBot="1" x14ac:dyDescent="0.6">
      <c r="A31" s="16" t="s">
        <v>100</v>
      </c>
      <c r="B31" s="137">
        <f>B28*0.2</f>
        <v>6.6405266772378013</v>
      </c>
    </row>
    <row r="32" spans="1:43" ht="14.7" thickBot="1" x14ac:dyDescent="0.6">
      <c r="A32" s="26" t="s">
        <v>300</v>
      </c>
      <c r="B32" s="205">
        <f>'polarization curve'!Z17*1000</f>
        <v>939.90056285858157</v>
      </c>
      <c r="AH32" s="266" t="s">
        <v>368</v>
      </c>
      <c r="AI32" s="267"/>
      <c r="AJ32" s="267"/>
      <c r="AK32" s="267"/>
      <c r="AL32" s="267"/>
      <c r="AM32" s="267"/>
      <c r="AN32" s="267"/>
      <c r="AO32" s="267"/>
      <c r="AP32" s="267"/>
      <c r="AQ32" s="268"/>
    </row>
    <row r="33" spans="1:58" ht="14.7" thickBot="1" x14ac:dyDescent="0.6">
      <c r="A33" s="26" t="s">
        <v>301</v>
      </c>
      <c r="B33" s="206">
        <f>B28*10^6/B32</f>
        <v>35325.687310163587</v>
      </c>
      <c r="AH33" s="269"/>
      <c r="AI33" s="270"/>
      <c r="AJ33" s="270"/>
      <c r="AK33" s="270"/>
      <c r="AL33" s="270"/>
      <c r="AM33" s="270"/>
      <c r="AN33" s="270"/>
      <c r="AO33" s="270"/>
      <c r="AP33" s="270"/>
      <c r="AQ33" s="271"/>
    </row>
    <row r="34" spans="1:58" ht="14.7" thickBot="1" x14ac:dyDescent="0.6">
      <c r="B34" s="204"/>
    </row>
    <row r="35" spans="1:58" ht="14.7" thickBot="1" x14ac:dyDescent="0.6">
      <c r="V35" s="337" t="s">
        <v>355</v>
      </c>
      <c r="W35" s="338"/>
      <c r="X35" s="338"/>
      <c r="Y35" s="339"/>
      <c r="Z35" s="279" t="s">
        <v>363</v>
      </c>
      <c r="AA35" s="332" t="s">
        <v>356</v>
      </c>
      <c r="AB35" s="333"/>
      <c r="AC35" s="333"/>
      <c r="AD35" s="72" t="s">
        <v>364</v>
      </c>
      <c r="AH35" s="337" t="s">
        <v>353</v>
      </c>
      <c r="AI35" s="338"/>
      <c r="AJ35" s="338"/>
      <c r="AK35" s="339"/>
      <c r="AL35" s="279" t="s">
        <v>363</v>
      </c>
      <c r="AM35" s="332" t="s">
        <v>354</v>
      </c>
      <c r="AN35" s="333"/>
      <c r="AO35" s="333"/>
      <c r="AP35" s="333"/>
      <c r="AQ35" s="343"/>
      <c r="AR35" t="s">
        <v>364</v>
      </c>
      <c r="AV35" s="337" t="s">
        <v>362</v>
      </c>
      <c r="AW35" s="338"/>
      <c r="AX35" s="338"/>
      <c r="AY35" s="339"/>
      <c r="AZ35" s="57" t="s">
        <v>363</v>
      </c>
      <c r="BA35" s="332" t="s">
        <v>354</v>
      </c>
      <c r="BB35" s="333"/>
      <c r="BC35" s="333"/>
      <c r="BD35" s="333"/>
      <c r="BE35" s="232"/>
      <c r="BF35" t="s">
        <v>364</v>
      </c>
    </row>
    <row r="36" spans="1:58" ht="14.4" customHeight="1" thickBot="1" x14ac:dyDescent="0.6">
      <c r="A36" s="308" t="s">
        <v>281</v>
      </c>
      <c r="B36" s="309"/>
      <c r="C36" s="310"/>
      <c r="V36" s="229" t="s">
        <v>359</v>
      </c>
      <c r="W36" s="229" t="s">
        <v>357</v>
      </c>
      <c r="X36" s="229" t="s">
        <v>358</v>
      </c>
      <c r="Y36" s="229" t="s">
        <v>360</v>
      </c>
      <c r="Z36" s="271"/>
      <c r="AA36" s="45" t="s">
        <v>90</v>
      </c>
      <c r="AB36" s="45" t="s">
        <v>361</v>
      </c>
      <c r="AC36" s="45" t="s">
        <v>365</v>
      </c>
      <c r="AD36" s="204">
        <f>SUM(AA58:AC58)</f>
        <v>35.256382163109571</v>
      </c>
      <c r="AH36" s="229" t="s">
        <v>359</v>
      </c>
      <c r="AI36" s="229" t="s">
        <v>357</v>
      </c>
      <c r="AJ36" s="229" t="s">
        <v>358</v>
      </c>
      <c r="AK36" s="229"/>
      <c r="AL36" s="271"/>
      <c r="AM36" s="45" t="s">
        <v>90</v>
      </c>
      <c r="AN36" s="45" t="s">
        <v>361</v>
      </c>
      <c r="AO36" s="231" t="s">
        <v>365</v>
      </c>
      <c r="AP36" s="229" t="s">
        <v>360</v>
      </c>
      <c r="AR36" s="118">
        <f>SUM(AM58:AP58)</f>
        <v>41.026984789042345</v>
      </c>
      <c r="AV36" s="229" t="s">
        <v>359</v>
      </c>
      <c r="AW36" s="229" t="s">
        <v>357</v>
      </c>
      <c r="AX36" s="229" t="s">
        <v>358</v>
      </c>
      <c r="AY36" s="229"/>
      <c r="AZ36" s="118">
        <f>SUM(AV37:AX37)</f>
        <v>36.657586509675355</v>
      </c>
      <c r="BA36" s="45" t="s">
        <v>90</v>
      </c>
      <c r="BB36" s="45" t="s">
        <v>361</v>
      </c>
      <c r="BC36" s="223" t="s">
        <v>365</v>
      </c>
      <c r="BD36" s="229" t="s">
        <v>360</v>
      </c>
      <c r="BF36" s="118">
        <f>SUM(BA58:BD58)</f>
        <v>41.026984789042345</v>
      </c>
    </row>
    <row r="37" spans="1:58" ht="14.4" customHeight="1" x14ac:dyDescent="0.55000000000000004">
      <c r="A37" s="200" t="s">
        <v>282</v>
      </c>
      <c r="B37" s="203">
        <f>B15</f>
        <v>0.22177999999999998</v>
      </c>
      <c r="C37" s="201" t="s">
        <v>263</v>
      </c>
      <c r="V37" s="118">
        <f>B28</f>
        <v>33.202633386189007</v>
      </c>
      <c r="W37" s="118">
        <f>B15</f>
        <v>0.22177999999999998</v>
      </c>
      <c r="X37" s="118">
        <f>B19</f>
        <v>3.2331731234863463</v>
      </c>
      <c r="Y37" s="118">
        <f>B30+B31</f>
        <v>9.960790015856702</v>
      </c>
      <c r="Z37" s="118">
        <f>SUM(V37:Y37)</f>
        <v>46.618376525532057</v>
      </c>
      <c r="AA37" s="118">
        <f>(L2)/(1+0.04)^H2</f>
        <v>0.79011192561195698</v>
      </c>
      <c r="AB37" s="118">
        <f>(I2)/(1+0.04)^H2</f>
        <v>1.4125635755962338</v>
      </c>
      <c r="AC37" s="118">
        <f>(K2)/(1+0.04)^H2</f>
        <v>0.21374626548311884</v>
      </c>
      <c r="AD37" s="118"/>
      <c r="AH37" s="118">
        <f>V37</f>
        <v>33.202633386189007</v>
      </c>
      <c r="AI37" s="118">
        <f>W37</f>
        <v>0.22177999999999998</v>
      </c>
      <c r="AJ37" s="118">
        <f>X37</f>
        <v>3.2331731234863463</v>
      </c>
      <c r="AL37" s="118">
        <f>SUM(AH37:AJ37)</f>
        <v>36.657586509675355</v>
      </c>
      <c r="AM37" s="118">
        <f>(L2)/(1+0.04)^H2</f>
        <v>0.79011192561195698</v>
      </c>
      <c r="AN37" s="118">
        <f>(I2)/(1+0.04)^H2</f>
        <v>1.4125635755962338</v>
      </c>
      <c r="AO37" s="118">
        <f>(K2)/(1+0.04)^H2</f>
        <v>0.21374626548311884</v>
      </c>
      <c r="AP37" s="118"/>
      <c r="AV37" s="118">
        <f>AH37</f>
        <v>33.202633386189007</v>
      </c>
      <c r="AW37" s="118">
        <f>AI37</f>
        <v>0.22177999999999998</v>
      </c>
      <c r="AX37" s="118">
        <f>AJ37</f>
        <v>3.2331731234863463</v>
      </c>
      <c r="BA37" s="118">
        <f>AM37</f>
        <v>0.79011192561195698</v>
      </c>
      <c r="BB37" s="118">
        <f t="shared" ref="BB37:BC52" si="12">AN37</f>
        <v>1.4125635755962338</v>
      </c>
      <c r="BC37" s="118">
        <f t="shared" si="12"/>
        <v>0.21374626548311884</v>
      </c>
    </row>
    <row r="38" spans="1:58" ht="14.7" customHeight="1" x14ac:dyDescent="0.55000000000000004">
      <c r="A38" s="40" t="s">
        <v>283</v>
      </c>
      <c r="B38" s="175">
        <f>B12</f>
        <v>0.82171640263643531</v>
      </c>
      <c r="C38" s="123" t="s">
        <v>284</v>
      </c>
      <c r="AA38" s="118">
        <f t="shared" ref="AA38:AA57" si="13">(L3)/(1+0.04)^H3</f>
        <v>0.75972300539611248</v>
      </c>
      <c r="AB38" s="118">
        <f t="shared" ref="AB38:AB57" si="14">(I3)/(1+0.04)^H3</f>
        <v>1.358234207304071</v>
      </c>
      <c r="AC38" s="118">
        <f t="shared" ref="AC38:AC57" si="15">(K3)/(1+0.04)^H3</f>
        <v>0.20552525527222965</v>
      </c>
      <c r="AD38" s="118"/>
      <c r="AM38" s="118">
        <f t="shared" ref="AM38:AM57" si="16">(L3)/(1+0.04)^H3</f>
        <v>0.75972300539611248</v>
      </c>
      <c r="AN38" s="118">
        <f t="shared" ref="AN38:AN57" si="17">(I3)/(1+0.04)^H3</f>
        <v>1.358234207304071</v>
      </c>
      <c r="AO38" s="118">
        <f t="shared" ref="AO38:AO57" si="18">(K3)/(1+0.04)^H3</f>
        <v>0.20552525527222965</v>
      </c>
      <c r="AP38" s="118"/>
      <c r="BA38" s="118">
        <f t="shared" ref="BA38:BC57" si="19">AM38</f>
        <v>0.75972300539611248</v>
      </c>
      <c r="BB38" s="118">
        <f t="shared" si="12"/>
        <v>1.358234207304071</v>
      </c>
      <c r="BC38" s="118">
        <f t="shared" si="12"/>
        <v>0.20552525527222965</v>
      </c>
    </row>
    <row r="39" spans="1:58" x14ac:dyDescent="0.55000000000000004">
      <c r="A39" s="40" t="s">
        <v>285</v>
      </c>
      <c r="B39" s="175">
        <f>'output H2 PROVA'!G16</f>
        <v>2.7831731234863462</v>
      </c>
      <c r="C39" s="123" t="s">
        <v>263</v>
      </c>
      <c r="AA39" s="118">
        <f t="shared" si="13"/>
        <v>0.73050288980395428</v>
      </c>
      <c r="AB39" s="118">
        <f t="shared" si="14"/>
        <v>1.3059944301000683</v>
      </c>
      <c r="AC39" s="118">
        <f t="shared" si="15"/>
        <v>0.19762043776175928</v>
      </c>
      <c r="AD39" s="118"/>
      <c r="AM39" s="118">
        <f t="shared" si="16"/>
        <v>0.73050288980395428</v>
      </c>
      <c r="AN39" s="118">
        <f t="shared" si="17"/>
        <v>1.3059944301000683</v>
      </c>
      <c r="AO39" s="118">
        <f t="shared" si="18"/>
        <v>0.19762043776175928</v>
      </c>
      <c r="AP39" s="118"/>
      <c r="BA39" s="118">
        <f t="shared" si="19"/>
        <v>0.73050288980395428</v>
      </c>
      <c r="BB39" s="118">
        <f t="shared" si="12"/>
        <v>1.3059944301000683</v>
      </c>
      <c r="BC39" s="118">
        <f t="shared" si="12"/>
        <v>0.19762043776175928</v>
      </c>
    </row>
    <row r="40" spans="1:58" x14ac:dyDescent="0.55000000000000004">
      <c r="A40" s="40" t="s">
        <v>286</v>
      </c>
      <c r="B40" s="60">
        <f>'output H2 PROVA'!K17</f>
        <v>0.45</v>
      </c>
      <c r="C40" s="123" t="s">
        <v>263</v>
      </c>
      <c r="AA40" s="118">
        <f t="shared" si="13"/>
        <v>0.70240662481149441</v>
      </c>
      <c r="AB40" s="118">
        <f t="shared" si="14"/>
        <v>1.2557638750962195</v>
      </c>
      <c r="AC40" s="118">
        <f t="shared" si="15"/>
        <v>0.19001965169399929</v>
      </c>
      <c r="AD40" s="118"/>
      <c r="AM40" s="118">
        <f t="shared" si="16"/>
        <v>0.70240662481149441</v>
      </c>
      <c r="AN40" s="118">
        <f t="shared" si="17"/>
        <v>1.2557638750962195</v>
      </c>
      <c r="AO40" s="118">
        <f t="shared" si="18"/>
        <v>0.19001965169399929</v>
      </c>
      <c r="AP40" s="118"/>
      <c r="BA40" s="118">
        <f t="shared" si="19"/>
        <v>0.70240662481149441</v>
      </c>
      <c r="BB40" s="118">
        <f t="shared" si="12"/>
        <v>1.2557638750962195</v>
      </c>
      <c r="BC40" s="118">
        <f t="shared" si="12"/>
        <v>0.19001965169399929</v>
      </c>
    </row>
    <row r="41" spans="1:58" x14ac:dyDescent="0.55000000000000004">
      <c r="A41" s="40" t="s">
        <v>287</v>
      </c>
      <c r="B41" s="60">
        <f>B20</f>
        <v>1.8000000000000002E-2</v>
      </c>
      <c r="C41" s="123" t="s">
        <v>284</v>
      </c>
      <c r="AA41" s="118">
        <f t="shared" si="13"/>
        <v>0.67539098539566766</v>
      </c>
      <c r="AB41" s="118">
        <f t="shared" si="14"/>
        <v>1.2074652645155954</v>
      </c>
      <c r="AC41" s="118">
        <f t="shared" si="15"/>
        <v>0.18271120355192236</v>
      </c>
      <c r="AD41" s="118"/>
      <c r="AM41" s="118">
        <f t="shared" si="16"/>
        <v>0.67539098539566766</v>
      </c>
      <c r="AN41" s="118">
        <f t="shared" si="17"/>
        <v>1.2074652645155954</v>
      </c>
      <c r="AO41" s="118">
        <f t="shared" si="18"/>
        <v>0.18271120355192236</v>
      </c>
      <c r="AP41" s="118"/>
      <c r="BA41" s="118">
        <f t="shared" si="19"/>
        <v>0.67539098539566766</v>
      </c>
      <c r="BB41" s="118">
        <f t="shared" si="12"/>
        <v>1.2074652645155954</v>
      </c>
      <c r="BC41" s="118">
        <f t="shared" si="12"/>
        <v>0.18271120355192236</v>
      </c>
    </row>
    <row r="42" spans="1:58" x14ac:dyDescent="0.55000000000000004">
      <c r="A42" s="40" t="s">
        <v>266</v>
      </c>
      <c r="B42" s="146">
        <f>B25</f>
        <v>0.19865671272529209</v>
      </c>
      <c r="C42" s="123" t="s">
        <v>284</v>
      </c>
      <c r="AA42" s="118">
        <f t="shared" si="13"/>
        <v>0.64941440903429581</v>
      </c>
      <c r="AB42" s="118">
        <f t="shared" si="14"/>
        <v>1.1610242928034571</v>
      </c>
      <c r="AC42" s="118">
        <f t="shared" si="15"/>
        <v>0.17568384956915611</v>
      </c>
      <c r="AD42" s="118"/>
      <c r="AM42" s="118">
        <f t="shared" si="16"/>
        <v>0.64941440903429581</v>
      </c>
      <c r="AN42" s="118">
        <f t="shared" si="17"/>
        <v>1.1610242928034571</v>
      </c>
      <c r="AO42" s="118">
        <f t="shared" si="18"/>
        <v>0.17568384956915611</v>
      </c>
      <c r="AP42" s="118"/>
      <c r="BA42" s="118">
        <f t="shared" si="19"/>
        <v>0.64941440903429581</v>
      </c>
      <c r="BB42" s="118">
        <f t="shared" si="12"/>
        <v>1.1610242928034571</v>
      </c>
      <c r="BC42" s="118">
        <f t="shared" si="12"/>
        <v>0.17568384956915611</v>
      </c>
    </row>
    <row r="43" spans="1:58" x14ac:dyDescent="0.55000000000000004">
      <c r="A43" s="40" t="s">
        <v>288</v>
      </c>
      <c r="B43" s="175">
        <f>B28</f>
        <v>33.202633386189007</v>
      </c>
      <c r="C43" s="123" t="s">
        <v>263</v>
      </c>
      <c r="E43" t="s">
        <v>256</v>
      </c>
      <c r="AA43" s="118">
        <f t="shared" si="13"/>
        <v>0.62443693176374604</v>
      </c>
      <c r="AB43" s="118">
        <f t="shared" si="14"/>
        <v>1.1163695123110167</v>
      </c>
      <c r="AC43" s="118">
        <f t="shared" si="15"/>
        <v>0.16892677843188089</v>
      </c>
      <c r="AD43" s="118"/>
      <c r="AM43" s="118">
        <f t="shared" si="16"/>
        <v>0.62443693176374604</v>
      </c>
      <c r="AN43" s="118">
        <f t="shared" si="17"/>
        <v>1.1163695123110167</v>
      </c>
      <c r="AO43" s="118">
        <f t="shared" si="18"/>
        <v>0.16892677843188089</v>
      </c>
      <c r="AP43" s="118"/>
      <c r="BA43" s="118">
        <f t="shared" si="19"/>
        <v>0.62443693176374604</v>
      </c>
      <c r="BB43" s="118">
        <f t="shared" si="12"/>
        <v>1.1163695123110167</v>
      </c>
      <c r="BC43" s="118">
        <f t="shared" si="12"/>
        <v>0.16892677843188089</v>
      </c>
    </row>
    <row r="44" spans="1:58" x14ac:dyDescent="0.55000000000000004">
      <c r="A44" s="40" t="s">
        <v>289</v>
      </c>
      <c r="B44" s="146">
        <f>B29</f>
        <v>5.63940337715149E-3</v>
      </c>
      <c r="C44" s="123" t="s">
        <v>284</v>
      </c>
      <c r="AA44" s="118">
        <f t="shared" si="13"/>
        <v>0.60042012669590961</v>
      </c>
      <c r="AB44" s="118">
        <f t="shared" si="14"/>
        <v>1.0734322233759772</v>
      </c>
      <c r="AC44" s="118">
        <f t="shared" si="15"/>
        <v>0.16242959464603929</v>
      </c>
      <c r="AD44" s="118"/>
      <c r="AM44" s="118">
        <f t="shared" si="16"/>
        <v>0.60042012669590961</v>
      </c>
      <c r="AN44" s="118">
        <f t="shared" si="17"/>
        <v>1.0734322233759772</v>
      </c>
      <c r="AO44" s="118">
        <f t="shared" si="18"/>
        <v>0.16242959464603929</v>
      </c>
      <c r="AP44" s="118"/>
      <c r="BA44" s="118">
        <f t="shared" si="19"/>
        <v>0.60042012669590961</v>
      </c>
      <c r="BB44" s="118">
        <f t="shared" si="12"/>
        <v>1.0734322233759772</v>
      </c>
      <c r="BC44" s="118">
        <f t="shared" si="12"/>
        <v>0.16242959464603929</v>
      </c>
    </row>
    <row r="45" spans="1:58" x14ac:dyDescent="0.55000000000000004">
      <c r="A45" s="40" t="s">
        <v>290</v>
      </c>
      <c r="B45" s="175">
        <f>B30</f>
        <v>3.3202633386189007</v>
      </c>
      <c r="C45" s="123" t="s">
        <v>263</v>
      </c>
      <c r="AA45" s="118">
        <f t="shared" si="13"/>
        <v>0.57732704489991293</v>
      </c>
      <c r="AB45" s="118">
        <f t="shared" si="14"/>
        <v>1.0321463686307473</v>
      </c>
      <c r="AC45" s="118">
        <f t="shared" si="15"/>
        <v>0.15618230254426854</v>
      </c>
      <c r="AD45" s="118"/>
      <c r="AM45" s="118">
        <f t="shared" si="16"/>
        <v>0.57732704489991293</v>
      </c>
      <c r="AN45" s="118">
        <f t="shared" si="17"/>
        <v>1.0321463686307473</v>
      </c>
      <c r="AO45" s="118">
        <f t="shared" si="18"/>
        <v>0.15618230254426854</v>
      </c>
      <c r="AP45" s="118"/>
      <c r="BA45" s="118">
        <f t="shared" si="19"/>
        <v>0.57732704489991293</v>
      </c>
      <c r="BB45" s="118">
        <f t="shared" si="12"/>
        <v>1.0321463686307473</v>
      </c>
      <c r="BC45" s="118">
        <f t="shared" si="12"/>
        <v>0.15618230254426854</v>
      </c>
    </row>
    <row r="46" spans="1:58" x14ac:dyDescent="0.55000000000000004">
      <c r="A46" s="40" t="s">
        <v>291</v>
      </c>
      <c r="B46" s="175">
        <f>B31</f>
        <v>6.6405266772378013</v>
      </c>
      <c r="C46" s="123" t="s">
        <v>263</v>
      </c>
      <c r="AA46" s="118">
        <f t="shared" si="13"/>
        <v>0.5551221585576086</v>
      </c>
      <c r="AB46" s="118">
        <f t="shared" si="14"/>
        <v>0.99244843137571859</v>
      </c>
      <c r="AC46" s="118">
        <f t="shared" si="15"/>
        <v>0.15017529090795051</v>
      </c>
      <c r="AD46" s="118"/>
      <c r="AM46" s="118">
        <f t="shared" si="16"/>
        <v>0.5551221585576086</v>
      </c>
      <c r="AN46" s="118">
        <f t="shared" si="17"/>
        <v>0.99244843137571859</v>
      </c>
      <c r="AO46" s="118">
        <f t="shared" si="18"/>
        <v>0.15017529090795051</v>
      </c>
      <c r="AP46" s="118"/>
      <c r="BA46" s="118">
        <f t="shared" si="19"/>
        <v>0.5551221585576086</v>
      </c>
      <c r="BB46" s="118">
        <f t="shared" si="12"/>
        <v>0.99244843137571859</v>
      </c>
      <c r="BC46" s="118">
        <f t="shared" si="12"/>
        <v>0.15017529090795051</v>
      </c>
    </row>
    <row r="47" spans="1:58" ht="14.7" thickBot="1" x14ac:dyDescent="0.6">
      <c r="A47" s="86" t="s">
        <v>292</v>
      </c>
      <c r="B47" s="181">
        <f>B2</f>
        <v>1.4690661186200833</v>
      </c>
      <c r="C47" s="173" t="s">
        <v>284</v>
      </c>
      <c r="AA47" s="118">
        <f t="shared" si="13"/>
        <v>0.53377130630539293</v>
      </c>
      <c r="AB47" s="118">
        <f t="shared" si="14"/>
        <v>0.95427733786126789</v>
      </c>
      <c r="AC47" s="118">
        <f t="shared" si="15"/>
        <v>0.14439931818072166</v>
      </c>
      <c r="AD47" s="118"/>
      <c r="AM47" s="118">
        <f t="shared" si="16"/>
        <v>0.53377130630539293</v>
      </c>
      <c r="AN47" s="118">
        <f t="shared" si="17"/>
        <v>0.95427733786126789</v>
      </c>
      <c r="AO47" s="118">
        <f t="shared" si="18"/>
        <v>0.14439931818072166</v>
      </c>
      <c r="AP47" s="118">
        <f>(N12)/((1+0.04)^H12)</f>
        <v>4.3135595050708631</v>
      </c>
      <c r="BA47" s="118">
        <f t="shared" si="19"/>
        <v>0.53377130630539293</v>
      </c>
      <c r="BB47" s="118">
        <f t="shared" si="12"/>
        <v>0.95427733786126789</v>
      </c>
      <c r="BC47" s="118">
        <f t="shared" si="12"/>
        <v>0.14439931818072166</v>
      </c>
      <c r="BD47">
        <f>(N12)/((1+0.04)^H12)</f>
        <v>4.3135595050708631</v>
      </c>
    </row>
    <row r="48" spans="1:58" x14ac:dyDescent="0.55000000000000004">
      <c r="A48" s="45"/>
      <c r="B48" s="45"/>
      <c r="C48" s="45"/>
      <c r="AA48" s="118">
        <f t="shared" si="13"/>
        <v>0.51324164067826239</v>
      </c>
      <c r="AB48" s="118">
        <f t="shared" si="14"/>
        <v>0.91757436332814202</v>
      </c>
      <c r="AC48" s="118">
        <f t="shared" si="15"/>
        <v>0.13884549825069389</v>
      </c>
      <c r="AD48" s="118"/>
      <c r="AM48" s="118">
        <f t="shared" si="16"/>
        <v>0.51324164067826239</v>
      </c>
      <c r="AN48" s="118">
        <f t="shared" si="17"/>
        <v>0.91757436332814202</v>
      </c>
      <c r="AO48" s="118">
        <f t="shared" si="18"/>
        <v>0.13884549825069389</v>
      </c>
      <c r="AP48" s="118"/>
      <c r="BA48" s="118">
        <f t="shared" si="19"/>
        <v>0.51324164067826239</v>
      </c>
      <c r="BB48" s="118">
        <f t="shared" si="12"/>
        <v>0.91757436332814202</v>
      </c>
      <c r="BC48" s="118">
        <f t="shared" si="12"/>
        <v>0.13884549825069389</v>
      </c>
    </row>
    <row r="49" spans="1:58" x14ac:dyDescent="0.55000000000000004">
      <c r="A49" s="45"/>
      <c r="B49" s="45"/>
      <c r="C49" s="45"/>
      <c r="AA49" s="118">
        <f t="shared" si="13"/>
        <v>0.49350157757525226</v>
      </c>
      <c r="AB49" s="118">
        <f t="shared" si="14"/>
        <v>0.88228304166167504</v>
      </c>
      <c r="AC49" s="118">
        <f t="shared" si="15"/>
        <v>0.13350528677951334</v>
      </c>
      <c r="AD49" s="118"/>
      <c r="AM49" s="118">
        <f t="shared" si="16"/>
        <v>0.49350157757525226</v>
      </c>
      <c r="AN49" s="118">
        <f t="shared" si="17"/>
        <v>0.88228304166167504</v>
      </c>
      <c r="AO49" s="118">
        <f t="shared" si="18"/>
        <v>0.13350528677951334</v>
      </c>
      <c r="AP49" s="118"/>
      <c r="BA49" s="118">
        <f t="shared" si="19"/>
        <v>0.49350157757525226</v>
      </c>
      <c r="BB49" s="118">
        <f t="shared" si="12"/>
        <v>0.88228304166167504</v>
      </c>
      <c r="BC49" s="118">
        <f t="shared" si="12"/>
        <v>0.13350528677951334</v>
      </c>
    </row>
    <row r="50" spans="1:58" x14ac:dyDescent="0.55000000000000004">
      <c r="AA50" s="118">
        <f t="shared" si="13"/>
        <v>0.47452074766851177</v>
      </c>
      <c r="AB50" s="118">
        <f t="shared" si="14"/>
        <v>0.8483490785208414</v>
      </c>
      <c r="AC50" s="118">
        <f t="shared" si="15"/>
        <v>0.12837046805722438</v>
      </c>
      <c r="AD50" s="118"/>
      <c r="AM50" s="118">
        <f t="shared" si="16"/>
        <v>0.47452074766851177</v>
      </c>
      <c r="AN50" s="118">
        <f t="shared" si="17"/>
        <v>0.8483490785208414</v>
      </c>
      <c r="AO50" s="118">
        <f t="shared" si="18"/>
        <v>0.12837046805722438</v>
      </c>
      <c r="AP50" s="118"/>
      <c r="BA50" s="118">
        <f t="shared" si="19"/>
        <v>0.47452074766851177</v>
      </c>
      <c r="BB50" s="118">
        <f t="shared" si="12"/>
        <v>0.8483490785208414</v>
      </c>
      <c r="BC50" s="118">
        <f t="shared" si="12"/>
        <v>0.12837046805722438</v>
      </c>
    </row>
    <row r="51" spans="1:58" x14ac:dyDescent="0.55000000000000004">
      <c r="AA51" s="118">
        <f t="shared" si="13"/>
        <v>0.45626994968126133</v>
      </c>
      <c r="AB51" s="118">
        <f t="shared" si="14"/>
        <v>0.81572026780850138</v>
      </c>
      <c r="AC51" s="118">
        <f t="shared" si="15"/>
        <v>0.12343314236271574</v>
      </c>
      <c r="AD51" s="118"/>
      <c r="AM51" s="118">
        <f t="shared" si="16"/>
        <v>0.45626994968126133</v>
      </c>
      <c r="AN51" s="118">
        <f t="shared" si="17"/>
        <v>0.81572026780850138</v>
      </c>
      <c r="AO51" s="118">
        <f t="shared" si="18"/>
        <v>0.12343314236271574</v>
      </c>
      <c r="AP51" s="118"/>
      <c r="BA51" s="118">
        <f t="shared" si="19"/>
        <v>0.45626994968126133</v>
      </c>
      <c r="BB51" s="118">
        <f t="shared" si="12"/>
        <v>0.81572026780850138</v>
      </c>
      <c r="BC51" s="118">
        <f t="shared" si="12"/>
        <v>0.12343314236271574</v>
      </c>
    </row>
    <row r="52" spans="1:58" x14ac:dyDescent="0.55000000000000004">
      <c r="AA52" s="118">
        <f t="shared" si="13"/>
        <v>0.43872110546275123</v>
      </c>
      <c r="AB52" s="118">
        <f t="shared" si="14"/>
        <v>0.78434641135432803</v>
      </c>
      <c r="AC52" s="118">
        <f t="shared" si="15"/>
        <v>0.11868571381030359</v>
      </c>
      <c r="AD52" s="118"/>
      <c r="AM52" s="118">
        <f t="shared" si="16"/>
        <v>0.43872110546275123</v>
      </c>
      <c r="AN52" s="118">
        <f t="shared" si="17"/>
        <v>0.78434641135432803</v>
      </c>
      <c r="AO52" s="118">
        <f t="shared" si="18"/>
        <v>0.11868571381030359</v>
      </c>
      <c r="AP52" s="118"/>
      <c r="BA52" s="118">
        <f t="shared" si="19"/>
        <v>0.43872110546275123</v>
      </c>
      <c r="BB52" s="118">
        <f t="shared" si="12"/>
        <v>0.78434641135432803</v>
      </c>
      <c r="BC52" s="118">
        <f t="shared" si="12"/>
        <v>0.11868571381030359</v>
      </c>
    </row>
    <row r="53" spans="1:58" x14ac:dyDescent="0.55000000000000004">
      <c r="AA53" s="118">
        <f t="shared" si="13"/>
        <v>0.42184721679110693</v>
      </c>
      <c r="AB53" s="118">
        <f t="shared" si="14"/>
        <v>0.75417924168685391</v>
      </c>
      <c r="AC53" s="118">
        <f t="shared" si="15"/>
        <v>0.11412087866375344</v>
      </c>
      <c r="AD53" s="118"/>
      <c r="AM53" s="118">
        <f t="shared" si="16"/>
        <v>0.42184721679110693</v>
      </c>
      <c r="AN53" s="118">
        <f t="shared" si="17"/>
        <v>0.75417924168685391</v>
      </c>
      <c r="AO53" s="118">
        <f t="shared" si="18"/>
        <v>0.11412087866375344</v>
      </c>
      <c r="AP53" s="118"/>
      <c r="BA53" s="118">
        <f t="shared" si="19"/>
        <v>0.42184721679110693</v>
      </c>
      <c r="BB53" s="118">
        <f t="shared" si="19"/>
        <v>0.75417924168685391</v>
      </c>
      <c r="BC53" s="118">
        <f t="shared" si="19"/>
        <v>0.11412087866375344</v>
      </c>
    </row>
    <row r="54" spans="1:58" x14ac:dyDescent="0.55000000000000004">
      <c r="AA54" s="118">
        <f t="shared" si="13"/>
        <v>0.40562232383760277</v>
      </c>
      <c r="AB54" s="118">
        <f t="shared" si="14"/>
        <v>0.72517234777582096</v>
      </c>
      <c r="AC54" s="118">
        <f t="shared" si="15"/>
        <v>0.10973161409976291</v>
      </c>
      <c r="AD54" s="118"/>
      <c r="AM54" s="118">
        <f t="shared" si="16"/>
        <v>0.40562232383760277</v>
      </c>
      <c r="AN54" s="118">
        <f t="shared" si="17"/>
        <v>0.72517234777582096</v>
      </c>
      <c r="AO54" s="118">
        <f t="shared" si="18"/>
        <v>0.10973161409976291</v>
      </c>
      <c r="AP54" s="118"/>
      <c r="BA54" s="118">
        <f t="shared" si="19"/>
        <v>0.40562232383760277</v>
      </c>
      <c r="BB54" s="118">
        <f t="shared" si="19"/>
        <v>0.72517234777582096</v>
      </c>
      <c r="BC54" s="118">
        <f t="shared" si="19"/>
        <v>0.10973161409976291</v>
      </c>
    </row>
    <row r="55" spans="1:58" x14ac:dyDescent="0.55000000000000004">
      <c r="AA55" s="118">
        <f t="shared" si="13"/>
        <v>0.3900214652284642</v>
      </c>
      <c r="AB55" s="118">
        <f t="shared" si="14"/>
        <v>0.69728110363059714</v>
      </c>
      <c r="AC55" s="118">
        <f t="shared" si="15"/>
        <v>0.10551116740361818</v>
      </c>
      <c r="AD55" s="118"/>
      <c r="AM55" s="118">
        <f t="shared" si="16"/>
        <v>0.3900214652284642</v>
      </c>
      <c r="AN55" s="118">
        <f t="shared" si="17"/>
        <v>0.69728110363059714</v>
      </c>
      <c r="AO55" s="118">
        <f t="shared" si="18"/>
        <v>0.10551116740361818</v>
      </c>
      <c r="AP55" s="118"/>
      <c r="BA55" s="118">
        <f t="shared" si="19"/>
        <v>0.3900214652284642</v>
      </c>
      <c r="BB55" s="118">
        <f t="shared" si="19"/>
        <v>0.69728110363059714</v>
      </c>
      <c r="BC55" s="118">
        <f t="shared" si="19"/>
        <v>0.10551116740361818</v>
      </c>
    </row>
    <row r="56" spans="1:58" x14ac:dyDescent="0.55000000000000004">
      <c r="AA56" s="118">
        <f t="shared" si="13"/>
        <v>0.37502063964275406</v>
      </c>
      <c r="AB56" s="118">
        <f t="shared" si="14"/>
        <v>0.67046259964480492</v>
      </c>
      <c r="AC56" s="118">
        <f t="shared" si="15"/>
        <v>0.10145304558040209</v>
      </c>
      <c r="AD56" s="118"/>
      <c r="AM56" s="118">
        <f t="shared" si="16"/>
        <v>0.37502063964275406</v>
      </c>
      <c r="AN56" s="118">
        <f t="shared" si="17"/>
        <v>0.67046259964480492</v>
      </c>
      <c r="AO56" s="118">
        <f t="shared" si="18"/>
        <v>0.10145304558040209</v>
      </c>
      <c r="BA56" s="118">
        <f t="shared" si="19"/>
        <v>0.37502063964275406</v>
      </c>
      <c r="BB56" s="118">
        <f t="shared" si="19"/>
        <v>0.67046259964480492</v>
      </c>
      <c r="BC56" s="118">
        <f t="shared" si="19"/>
        <v>0.10145304558040209</v>
      </c>
    </row>
    <row r="57" spans="1:58" ht="14.7" thickBot="1" x14ac:dyDescent="0.6">
      <c r="AA57" s="118">
        <f t="shared" si="13"/>
        <v>0.36059676888726344</v>
      </c>
      <c r="AB57" s="118">
        <f t="shared" si="14"/>
        <v>0.64467557658154306</v>
      </c>
      <c r="AC57" s="118">
        <f t="shared" si="15"/>
        <v>9.7551005365771229E-2</v>
      </c>
      <c r="AD57" s="118"/>
      <c r="AM57" s="118">
        <f t="shared" si="16"/>
        <v>0.36059676888726344</v>
      </c>
      <c r="AN57" s="118">
        <f t="shared" si="17"/>
        <v>0.64467557658154306</v>
      </c>
      <c r="AO57" s="118">
        <f t="shared" si="18"/>
        <v>9.7551005365771229E-2</v>
      </c>
      <c r="AP57" s="118">
        <f>(M22)/((1+0.04)^H22)</f>
        <v>1.4570431208619099</v>
      </c>
      <c r="BA57" s="118">
        <f t="shared" si="19"/>
        <v>0.36059676888726344</v>
      </c>
      <c r="BB57" s="118">
        <f t="shared" si="19"/>
        <v>0.64467557658154306</v>
      </c>
      <c r="BC57" s="118">
        <f t="shared" si="19"/>
        <v>9.7551005365771229E-2</v>
      </c>
      <c r="BD57">
        <f>(M22)/((1+0.04)^H22)</f>
        <v>1.4570431208619099</v>
      </c>
    </row>
    <row r="58" spans="1:58" x14ac:dyDescent="0.55000000000000004">
      <c r="Z58" t="s">
        <v>366</v>
      </c>
      <c r="AA58" s="118">
        <f>SUM(AA37:AA57)</f>
        <v>11.527990843729283</v>
      </c>
      <c r="AB58" s="118">
        <f>SUM(AB37:AB57)</f>
        <v>20.609763550963482</v>
      </c>
      <c r="AC58" s="118">
        <f>SUM(AC37:AC57)</f>
        <v>3.1186277684168049</v>
      </c>
      <c r="AD58" s="118"/>
      <c r="AL58" s="57" t="s">
        <v>367</v>
      </c>
      <c r="AM58" s="118">
        <f>SUM(AM37:AM57)</f>
        <v>11.527990843729283</v>
      </c>
      <c r="AN58" s="118">
        <f t="shared" ref="AN58:AP58" si="20">SUM(AN37:AN57)</f>
        <v>20.609763550963482</v>
      </c>
      <c r="AO58" s="118">
        <f t="shared" si="20"/>
        <v>3.1186277684168049</v>
      </c>
      <c r="AP58" s="118">
        <f t="shared" si="20"/>
        <v>5.7706026259327725</v>
      </c>
      <c r="AZ58" s="57" t="s">
        <v>367</v>
      </c>
      <c r="BA58" s="118">
        <f>AM58</f>
        <v>11.527990843729283</v>
      </c>
      <c r="BB58" s="118">
        <f t="shared" ref="BB58:BD58" si="21">AN58</f>
        <v>20.609763550963482</v>
      </c>
      <c r="BC58" s="118">
        <f t="shared" si="21"/>
        <v>3.1186277684168049</v>
      </c>
      <c r="BD58" s="118">
        <f t="shared" si="21"/>
        <v>5.7706026259327725</v>
      </c>
    </row>
    <row r="59" spans="1:58" ht="14.7" thickBot="1" x14ac:dyDescent="0.6">
      <c r="Z59">
        <f>Q22</f>
        <v>7111007.3305076165</v>
      </c>
      <c r="AL59" s="118">
        <f>AE2</f>
        <v>4750545.6773609668</v>
      </c>
      <c r="AZ59" s="118">
        <f>Z59</f>
        <v>7111007.3305076165</v>
      </c>
    </row>
    <row r="60" spans="1:58" ht="14.7" thickBot="1" x14ac:dyDescent="0.6">
      <c r="W60" s="337" t="s">
        <v>355</v>
      </c>
      <c r="X60" s="338"/>
      <c r="Y60" s="338"/>
      <c r="Z60" s="339"/>
      <c r="AA60" s="332" t="s">
        <v>356</v>
      </c>
      <c r="AB60" s="333"/>
      <c r="AC60" s="333"/>
      <c r="AD60" s="334" t="s">
        <v>346</v>
      </c>
      <c r="AH60" s="234"/>
      <c r="AI60" s="337" t="s">
        <v>353</v>
      </c>
      <c r="AJ60" s="338"/>
      <c r="AK60" s="339"/>
      <c r="AL60" s="332" t="s">
        <v>354</v>
      </c>
      <c r="AM60" s="333"/>
      <c r="AN60" s="333"/>
      <c r="AO60" s="333"/>
      <c r="AP60" s="232"/>
      <c r="AR60" s="334" t="s">
        <v>369</v>
      </c>
      <c r="AV60" s="337" t="s">
        <v>362</v>
      </c>
      <c r="AW60" s="338"/>
      <c r="AX60" s="338"/>
      <c r="AY60" s="339"/>
      <c r="BA60" s="332" t="s">
        <v>354</v>
      </c>
      <c r="BB60" s="333"/>
      <c r="BC60" s="333"/>
      <c r="BD60" s="333"/>
      <c r="BE60" s="232"/>
      <c r="BF60" s="334" t="s">
        <v>370</v>
      </c>
    </row>
    <row r="61" spans="1:58" ht="16.8" x14ac:dyDescent="0.55000000000000004">
      <c r="W61" s="229" t="s">
        <v>359</v>
      </c>
      <c r="X61" s="229" t="s">
        <v>357</v>
      </c>
      <c r="Y61" s="229" t="s">
        <v>358</v>
      </c>
      <c r="Z61" s="229" t="s">
        <v>360</v>
      </c>
      <c r="AA61" s="45" t="s">
        <v>90</v>
      </c>
      <c r="AB61" s="45" t="s">
        <v>361</v>
      </c>
      <c r="AC61" s="45" t="s">
        <v>365</v>
      </c>
      <c r="AD61" s="334"/>
      <c r="AI61" s="229" t="s">
        <v>359</v>
      </c>
      <c r="AJ61" s="229" t="s">
        <v>357</v>
      </c>
      <c r="AK61" s="229" t="s">
        <v>358</v>
      </c>
      <c r="AL61" s="45" t="s">
        <v>90</v>
      </c>
      <c r="AM61" s="45" t="s">
        <v>361</v>
      </c>
      <c r="AN61" s="223" t="s">
        <v>365</v>
      </c>
      <c r="AO61" s="229" t="s">
        <v>360</v>
      </c>
      <c r="AR61" s="334"/>
      <c r="AV61" s="229" t="s">
        <v>359</v>
      </c>
      <c r="AW61" s="229" t="s">
        <v>357</v>
      </c>
      <c r="AX61" s="229" t="s">
        <v>358</v>
      </c>
      <c r="AY61" s="229"/>
      <c r="BA61" s="45" t="s">
        <v>90</v>
      </c>
      <c r="BB61" s="45" t="s">
        <v>361</v>
      </c>
      <c r="BC61" s="223" t="s">
        <v>365</v>
      </c>
      <c r="BD61" s="229" t="s">
        <v>360</v>
      </c>
      <c r="BF61" s="334"/>
    </row>
    <row r="62" spans="1:58" x14ac:dyDescent="0.55000000000000004">
      <c r="W62" s="112">
        <f>V37*10^6/Z59</f>
        <v>4.6691884627573357</v>
      </c>
      <c r="X62" s="112">
        <f>W37*10^6/Z59</f>
        <v>3.118826766617442E-2</v>
      </c>
      <c r="Y62" s="112">
        <f>X37*10^6/Z59</f>
        <v>0.45467160603468931</v>
      </c>
      <c r="Z62" s="112">
        <f>Y37*10^6/Z59</f>
        <v>1.4007565388272007</v>
      </c>
      <c r="AA62" s="112">
        <f>AA58*10^6/Z59</f>
        <v>1.6211473716630753</v>
      </c>
      <c r="AB62" s="112">
        <f>AB58*10^6/Z59</f>
        <v>2.8982902974299511</v>
      </c>
      <c r="AC62" s="112">
        <f>AC58*10^6/Z59</f>
        <v>0.43856343039294582</v>
      </c>
      <c r="AD62" s="230">
        <f>SUM(W62:Z62)+SUM(AA62:AC62)</f>
        <v>11.513805974771373</v>
      </c>
      <c r="AI62" s="112">
        <f>AH37*10^6/AL59</f>
        <v>6.9892251629993387</v>
      </c>
      <c r="AJ62" s="112">
        <f>AI37*10^6/AL59</f>
        <v>4.6685163150184394E-2</v>
      </c>
      <c r="AK62" s="112">
        <f>AJ37*10^6/AL59</f>
        <v>0.68058984021440794</v>
      </c>
      <c r="AL62" s="228">
        <f>AM58*10^6/$AL$59</f>
        <v>2.4266666666666676</v>
      </c>
      <c r="AM62" s="228">
        <f>AN58*10^6/$AL$59</f>
        <v>4.3383991967871491</v>
      </c>
      <c r="AN62" s="228">
        <f>AO58*10^6/$AL$59</f>
        <v>0.65647779859876465</v>
      </c>
      <c r="AO62" s="228">
        <f>AP58*10^6/$AL$59</f>
        <v>1.2147241638856254</v>
      </c>
      <c r="AR62" s="233">
        <f>SUM(AI62:AK62)+SUM(AL62:AO62)</f>
        <v>16.352767992302137</v>
      </c>
      <c r="AV62" s="204">
        <f>AV37*10^6/$AZ$59</f>
        <v>4.6691884627573357</v>
      </c>
      <c r="AW62" s="204">
        <f t="shared" ref="AW62:AX62" si="22">AW37*10^6/$AZ$59</f>
        <v>3.118826766617442E-2</v>
      </c>
      <c r="AX62" s="204">
        <f t="shared" si="22"/>
        <v>0.45467160603468931</v>
      </c>
      <c r="AY62" s="204"/>
      <c r="AZ62" s="204"/>
      <c r="BA62" s="204">
        <f>BA58*10^6/$AZ$59</f>
        <v>1.6211473716630753</v>
      </c>
      <c r="BB62" s="204">
        <f t="shared" ref="BB62:BD62" si="23">BB58*10^6/$AZ$59</f>
        <v>2.8982902974299511</v>
      </c>
      <c r="BC62" s="204">
        <f t="shared" si="23"/>
        <v>0.43856343039294582</v>
      </c>
      <c r="BD62" s="204">
        <f t="shared" si="23"/>
        <v>0.81150283746379437</v>
      </c>
      <c r="BE62" s="204"/>
      <c r="BF62" s="204">
        <f>SUM(AV62:AX62)+SUM(BA62:BD62)</f>
        <v>10.924552273407965</v>
      </c>
    </row>
    <row r="70" spans="33:42" ht="14.7" thickBot="1" x14ac:dyDescent="0.6"/>
    <row r="71" spans="33:42" ht="14.7" thickBot="1" x14ac:dyDescent="0.6">
      <c r="AH71" s="335" t="s">
        <v>371</v>
      </c>
      <c r="AI71" s="336"/>
      <c r="AJ71" s="336"/>
      <c r="AK71" s="336"/>
      <c r="AL71" s="336"/>
      <c r="AM71" s="336"/>
      <c r="AN71" s="336"/>
      <c r="AO71" s="238"/>
      <c r="AP71" s="239"/>
    </row>
    <row r="72" spans="33:42" ht="16.8" x14ac:dyDescent="0.55000000000000004">
      <c r="AH72" s="235" t="s">
        <v>359</v>
      </c>
      <c r="AI72" s="235" t="s">
        <v>357</v>
      </c>
      <c r="AJ72" s="235" t="s">
        <v>358</v>
      </c>
      <c r="AK72" s="237" t="s">
        <v>372</v>
      </c>
      <c r="AL72" s="236" t="s">
        <v>90</v>
      </c>
      <c r="AM72" s="236" t="s">
        <v>361</v>
      </c>
      <c r="AN72" s="236" t="s">
        <v>365</v>
      </c>
    </row>
    <row r="73" spans="33:42" x14ac:dyDescent="0.55000000000000004">
      <c r="AG73" t="s">
        <v>346</v>
      </c>
      <c r="AH73" s="118">
        <f>W62</f>
        <v>4.6691884627573357</v>
      </c>
      <c r="AI73" s="118">
        <f t="shared" ref="AI73:AN73" si="24">X62</f>
        <v>3.118826766617442E-2</v>
      </c>
      <c r="AJ73" s="118">
        <f t="shared" si="24"/>
        <v>0.45467160603468931</v>
      </c>
      <c r="AK73" s="118">
        <f t="shared" si="24"/>
        <v>1.4007565388272007</v>
      </c>
      <c r="AL73" s="118">
        <f t="shared" si="24"/>
        <v>1.6211473716630753</v>
      </c>
      <c r="AM73" s="118">
        <f t="shared" si="24"/>
        <v>2.8982902974299511</v>
      </c>
      <c r="AN73" s="118">
        <f t="shared" si="24"/>
        <v>0.43856343039294582</v>
      </c>
      <c r="AO73" s="204">
        <f>SUM(AH73:AN73)-$AD$62</f>
        <v>0</v>
      </c>
    </row>
    <row r="74" spans="33:42" x14ac:dyDescent="0.55000000000000004">
      <c r="AG74" t="s">
        <v>369</v>
      </c>
      <c r="AH74" s="118">
        <f>AI62</f>
        <v>6.9892251629993387</v>
      </c>
      <c r="AI74" s="118">
        <f t="shared" ref="AI74:AJ74" si="25">AJ62</f>
        <v>4.6685163150184394E-2</v>
      </c>
      <c r="AJ74" s="118">
        <f t="shared" si="25"/>
        <v>0.68058984021440794</v>
      </c>
      <c r="AK74" s="204">
        <f>AO62</f>
        <v>1.2147241638856254</v>
      </c>
      <c r="AL74" s="204">
        <f>AL62</f>
        <v>2.4266666666666676</v>
      </c>
      <c r="AM74" s="204">
        <f t="shared" ref="AM74:AN74" si="26">AM62</f>
        <v>4.3383991967871491</v>
      </c>
      <c r="AN74" s="204">
        <f t="shared" si="26"/>
        <v>0.65647779859876465</v>
      </c>
      <c r="AO74" s="204">
        <f>SUM(AH74:AN74)-$AR$62</f>
        <v>0</v>
      </c>
    </row>
    <row r="75" spans="33:42" x14ac:dyDescent="0.55000000000000004">
      <c r="AG75" t="s">
        <v>370</v>
      </c>
      <c r="AH75" s="204">
        <f>AV62</f>
        <v>4.6691884627573357</v>
      </c>
      <c r="AI75" s="204">
        <f t="shared" ref="AI75:AJ75" si="27">AW62</f>
        <v>3.118826766617442E-2</v>
      </c>
      <c r="AJ75" s="204">
        <f t="shared" si="27"/>
        <v>0.45467160603468931</v>
      </c>
      <c r="AK75" s="204">
        <f>BD62</f>
        <v>0.81150283746379437</v>
      </c>
      <c r="AL75" s="204">
        <f>BA62</f>
        <v>1.6211473716630753</v>
      </c>
      <c r="AM75" s="204">
        <f t="shared" ref="AM75:AN75" si="28">BB62</f>
        <v>2.8982902974299511</v>
      </c>
      <c r="AN75" s="204">
        <f t="shared" si="28"/>
        <v>0.43856343039294582</v>
      </c>
      <c r="AO75" s="204">
        <f>SUM(AH75:AN75)-BF62</f>
        <v>0</v>
      </c>
    </row>
  </sheetData>
  <mergeCells count="21">
    <mergeCell ref="R1:R22"/>
    <mergeCell ref="AH32:AQ33"/>
    <mergeCell ref="V35:Y35"/>
    <mergeCell ref="Z35:Z36"/>
    <mergeCell ref="AA35:AC35"/>
    <mergeCell ref="AH35:AK35"/>
    <mergeCell ref="AL35:AL36"/>
    <mergeCell ref="AM35:AQ35"/>
    <mergeCell ref="A36:C36"/>
    <mergeCell ref="W60:Z60"/>
    <mergeCell ref="AA60:AC60"/>
    <mergeCell ref="AD60:AD61"/>
    <mergeCell ref="AI60:AK60"/>
    <mergeCell ref="BA60:BD60"/>
    <mergeCell ref="BF60:BF61"/>
    <mergeCell ref="AH71:AN71"/>
    <mergeCell ref="AV35:AY35"/>
    <mergeCell ref="BA35:BD35"/>
    <mergeCell ref="AL60:AO60"/>
    <mergeCell ref="AR60:AR61"/>
    <mergeCell ref="AV60:AY60"/>
  </mergeCells>
  <pageMargins left="0.7" right="0.7" top="0.75" bottom="0.75" header="0.3" footer="0.3"/>
  <pageSetup paperSize="9" orientation="portrait" verticalDpi="0" r:id="rId1"/>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468C6-1583-4796-9192-42428B88B2C2}">
  <dimension ref="A1:BF75"/>
  <sheetViews>
    <sheetView topLeftCell="AD66" zoomScale="94" zoomScaleNormal="175" workbookViewId="0">
      <selection activeCell="AM89" sqref="AM89"/>
    </sheetView>
  </sheetViews>
  <sheetFormatPr defaultRowHeight="14.4" x14ac:dyDescent="0.55000000000000004"/>
  <cols>
    <col min="1" max="1" width="28.15625" bestFit="1" customWidth="1"/>
    <col min="2" max="2" width="11.20703125" bestFit="1" customWidth="1"/>
    <col min="7" max="7" width="15.83984375" bestFit="1" customWidth="1"/>
    <col min="8" max="8" width="5.7890625" bestFit="1" customWidth="1"/>
    <col min="9" max="9" width="21.89453125" customWidth="1"/>
    <col min="10" max="10" width="16.62890625" bestFit="1" customWidth="1"/>
    <col min="11" max="11" width="45.83984375" bestFit="1" customWidth="1"/>
    <col min="12" max="12" width="19.578125" bestFit="1" customWidth="1"/>
    <col min="13" max="13" width="22.26171875" bestFit="1" customWidth="1"/>
    <col min="14" max="14" width="33.83984375" bestFit="1" customWidth="1"/>
    <col min="15" max="15" width="34.68359375" bestFit="1" customWidth="1"/>
    <col min="16" max="16" width="25.68359375" bestFit="1" customWidth="1"/>
    <col min="17" max="17" width="26.20703125" bestFit="1" customWidth="1"/>
    <col min="18" max="18" width="16.62890625" customWidth="1"/>
    <col min="19" max="21" width="15.05078125" customWidth="1"/>
    <col min="22" max="28" width="17" customWidth="1"/>
    <col min="29" max="29" width="28.83984375" bestFit="1" customWidth="1"/>
    <col min="30" max="30" width="28.9453125" bestFit="1" customWidth="1"/>
    <col min="31" max="31" width="19.5234375" bestFit="1" customWidth="1"/>
    <col min="32" max="32" width="11.578125" bestFit="1" customWidth="1"/>
    <col min="34" max="34" width="12.578125" bestFit="1" customWidth="1"/>
    <col min="35" max="36" width="14.89453125" bestFit="1" customWidth="1"/>
    <col min="37" max="37" width="29.20703125" bestFit="1" customWidth="1"/>
    <col min="38" max="38" width="13.734375" bestFit="1" customWidth="1"/>
    <col min="39" max="39" width="10.578125" bestFit="1" customWidth="1"/>
    <col min="40" max="40" width="10.578125" customWidth="1"/>
    <col min="41" max="43" width="16" bestFit="1" customWidth="1"/>
    <col min="48" max="48" width="12.578125" bestFit="1" customWidth="1"/>
    <col min="49" max="49" width="14.89453125" bestFit="1" customWidth="1"/>
    <col min="50" max="50" width="10.41796875" bestFit="1" customWidth="1"/>
    <col min="52" max="52" width="13.734375" bestFit="1" customWidth="1"/>
    <col min="53" max="53" width="10.05078125" bestFit="1" customWidth="1"/>
    <col min="54" max="54" width="10.578125" bestFit="1" customWidth="1"/>
    <col min="55" max="55" width="10.20703125" customWidth="1"/>
    <col min="56" max="57" width="16" bestFit="1" customWidth="1"/>
  </cols>
  <sheetData>
    <row r="1" spans="1:33" s="222" customFormat="1" ht="26.7" customHeight="1" thickBot="1" x14ac:dyDescent="0.6">
      <c r="A1" s="224" t="s">
        <v>188</v>
      </c>
      <c r="G1" s="225" t="s">
        <v>77</v>
      </c>
      <c r="H1" s="225" t="s">
        <v>78</v>
      </c>
      <c r="I1" s="224" t="s">
        <v>257</v>
      </c>
      <c r="J1" s="224" t="s">
        <v>181</v>
      </c>
      <c r="K1" s="224" t="s">
        <v>79</v>
      </c>
      <c r="L1" s="225" t="s">
        <v>258</v>
      </c>
      <c r="M1" s="225" t="s">
        <v>81</v>
      </c>
      <c r="N1" s="225" t="s">
        <v>82</v>
      </c>
      <c r="O1" s="224" t="s">
        <v>83</v>
      </c>
      <c r="P1" s="225" t="s">
        <v>84</v>
      </c>
      <c r="Q1" s="221" t="s">
        <v>85</v>
      </c>
      <c r="R1" s="340" t="s">
        <v>261</v>
      </c>
      <c r="S1" s="226" t="s">
        <v>342</v>
      </c>
      <c r="T1" s="226" t="s">
        <v>343</v>
      </c>
      <c r="U1" s="226"/>
      <c r="V1" s="226" t="s">
        <v>344</v>
      </c>
      <c r="W1" s="226" t="s">
        <v>94</v>
      </c>
      <c r="X1" s="222" t="s">
        <v>260</v>
      </c>
      <c r="Y1" s="222" t="s">
        <v>297</v>
      </c>
      <c r="Z1" s="227" t="s">
        <v>298</v>
      </c>
      <c r="AA1" s="222" t="s">
        <v>313</v>
      </c>
      <c r="AB1" s="222" t="s">
        <v>295</v>
      </c>
      <c r="AC1" s="222" t="s">
        <v>312</v>
      </c>
      <c r="AD1" s="222" t="s">
        <v>299</v>
      </c>
      <c r="AE1" s="225" t="s">
        <v>293</v>
      </c>
      <c r="AF1" s="227" t="s">
        <v>294</v>
      </c>
      <c r="AG1" s="227" t="s">
        <v>296</v>
      </c>
    </row>
    <row r="2" spans="1:33" ht="14.7" thickBot="1" x14ac:dyDescent="0.6">
      <c r="A2" s="21" t="s">
        <v>171</v>
      </c>
      <c r="B2" s="139">
        <f>'polarization curve'!X17*'contributi LCOH 0,24'!B3/10^6+'output H2 PROVA'!K13*'contributi LCOH 0,24'!B3/10^6</f>
        <v>2.2035991779301249</v>
      </c>
      <c r="G2" s="138">
        <f>B15+B19+B28</f>
        <v>36.657586509675355</v>
      </c>
      <c r="H2" s="40">
        <v>1</v>
      </c>
      <c r="I2" s="174">
        <f>$B$2</f>
        <v>2.2035991779301249</v>
      </c>
      <c r="J2" s="174">
        <f>$B$25</f>
        <v>0.19865671272529209</v>
      </c>
      <c r="K2" s="122">
        <f>$B$20+$B$29+$B$25</f>
        <v>0.2222961161024436</v>
      </c>
      <c r="L2" s="124">
        <f>$B$12</f>
        <v>0.82171640263643531</v>
      </c>
      <c r="M2" s="60"/>
      <c r="N2" s="40"/>
      <c r="O2" s="57">
        <f>'polarization curve'!$AB$17</f>
        <v>338619.39669083874</v>
      </c>
      <c r="P2" s="179">
        <f>G2+K2+L2+M2+N2+I2</f>
        <v>39.905198206344352</v>
      </c>
      <c r="Q2" s="40">
        <f>O2</f>
        <v>338619.39669083874</v>
      </c>
      <c r="R2" s="341"/>
      <c r="S2" s="177">
        <f t="shared" ref="S2:S22" si="0">(K2+L2)/(1+0.04)^H2</f>
        <v>1.0038581910950759</v>
      </c>
      <c r="T2" s="177">
        <f t="shared" ref="T2:T22" si="1">(I2)/(1+0.04)^H2</f>
        <v>2.1188453633943509</v>
      </c>
      <c r="U2" s="177"/>
      <c r="V2" s="177">
        <f t="shared" ref="V2:V22" si="2">SUM(S2:T2)</f>
        <v>3.1227035544894268</v>
      </c>
      <c r="W2" s="169">
        <f t="shared" ref="W2:W22" si="3">(I2+K2+L2)/(1+0.04)^H2</f>
        <v>3.1227035544894268</v>
      </c>
      <c r="X2" s="177">
        <f>SUM(W2:W22)</f>
        <v>45.561263938591317</v>
      </c>
      <c r="Y2" s="177">
        <f>G2+N12+M22</f>
        <v>46.618376525532057</v>
      </c>
      <c r="Z2" s="207">
        <f>(Y2+X2)*10^6/Q22</f>
        <v>12.962951123486349</v>
      </c>
      <c r="AA2" s="177">
        <f>G2</f>
        <v>36.657586509675355</v>
      </c>
      <c r="AB2" s="177">
        <f>(I2+K2+L2+M2+N2)/((1+0.04)^H2)</f>
        <v>3.1227035544894268</v>
      </c>
      <c r="AC2" s="177">
        <f>SUM(AB2:AB22)</f>
        <v>51.331866564524098</v>
      </c>
      <c r="AD2" s="112">
        <f t="shared" ref="AD2:AD22" si="4">($Q$2)/((1+0.04)^H2)</f>
        <v>325595.57374119107</v>
      </c>
      <c r="AE2" s="112">
        <f>SUM(AD2:AD22)</f>
        <v>4750545.6773609668</v>
      </c>
      <c r="AF2" s="208">
        <f>(AC2+AA2)*10^6/AE2</f>
        <v>18.521967590695716</v>
      </c>
      <c r="AG2" s="66">
        <f>(AA2+AC2)*10^6/(Q22)</f>
        <v>12.373697422122945</v>
      </c>
    </row>
    <row r="3" spans="1:33" ht="14.7" thickBot="1" x14ac:dyDescent="0.6">
      <c r="A3" s="16" t="s">
        <v>255</v>
      </c>
      <c r="B3" s="13">
        <v>240</v>
      </c>
      <c r="D3">
        <v>1</v>
      </c>
      <c r="E3">
        <v>2</v>
      </c>
      <c r="F3">
        <v>3</v>
      </c>
      <c r="H3" s="40">
        <v>2</v>
      </c>
      <c r="I3" s="174">
        <f t="shared" ref="I3:I22" si="5">$B$2</f>
        <v>2.2035991779301249</v>
      </c>
      <c r="J3" s="174">
        <f t="shared" ref="J3:J22" si="6">$B$25</f>
        <v>0.19865671272529209</v>
      </c>
      <c r="K3" s="146">
        <f t="shared" ref="K3:K22" si="7">$B$20+$B$29+$B$25</f>
        <v>0.2222961161024436</v>
      </c>
      <c r="L3" s="124">
        <f t="shared" ref="L3:L22" si="8">$B$12</f>
        <v>0.82171640263643531</v>
      </c>
      <c r="M3" s="60"/>
      <c r="N3" s="40"/>
      <c r="O3" s="60">
        <f>'polarization curve'!$AB$17</f>
        <v>338619.39669083874</v>
      </c>
      <c r="P3" s="179">
        <f t="shared" ref="P3:P22" si="9">P2+K3+L3+M3+N3+I3</f>
        <v>43.152809903013349</v>
      </c>
      <c r="Q3" s="40">
        <f>O3+Q2</f>
        <v>677238.79338167747</v>
      </c>
      <c r="R3" s="341"/>
      <c r="S3" s="177">
        <f t="shared" si="0"/>
        <v>0.96524826066834213</v>
      </c>
      <c r="T3" s="177">
        <f t="shared" si="1"/>
        <v>2.0373513109561063</v>
      </c>
      <c r="U3" s="177"/>
      <c r="V3" s="177">
        <f t="shared" si="2"/>
        <v>3.0025995716244482</v>
      </c>
      <c r="W3" s="169">
        <f t="shared" si="3"/>
        <v>3.0025995716244487</v>
      </c>
      <c r="X3" s="177"/>
      <c r="Y3" s="177"/>
      <c r="Z3" s="177"/>
      <c r="AA3" s="177"/>
      <c r="AB3" s="177">
        <f t="shared" ref="AB3:AB21" si="10">(I3+K3+L3+M3+N3)/((1+0.04)^H3)</f>
        <v>3.0025995716244487</v>
      </c>
      <c r="AC3" s="177"/>
      <c r="AD3" s="112">
        <f t="shared" si="4"/>
        <v>313072.66705883754</v>
      </c>
    </row>
    <row r="4" spans="1:33" x14ac:dyDescent="0.55000000000000004">
      <c r="D4" s="204">
        <f>Z2</f>
        <v>12.962951123486349</v>
      </c>
      <c r="E4">
        <f>AF2</f>
        <v>18.521967590695716</v>
      </c>
      <c r="F4">
        <f>AG2</f>
        <v>12.373697422122945</v>
      </c>
      <c r="H4" s="40">
        <v>3</v>
      </c>
      <c r="I4" s="174">
        <f t="shared" si="5"/>
        <v>2.2035991779301249</v>
      </c>
      <c r="J4" s="174">
        <f t="shared" si="6"/>
        <v>0.19865671272529209</v>
      </c>
      <c r="K4" s="146">
        <f t="shared" si="7"/>
        <v>0.2222961161024436</v>
      </c>
      <c r="L4" s="124">
        <f t="shared" si="8"/>
        <v>0.82171640263643531</v>
      </c>
      <c r="M4" s="60"/>
      <c r="N4" s="40"/>
      <c r="O4" s="60">
        <f>'polarization curve'!$AB$17</f>
        <v>338619.39669083874</v>
      </c>
      <c r="P4" s="179">
        <f t="shared" si="9"/>
        <v>46.400421599682346</v>
      </c>
      <c r="Q4" s="40">
        <f>O4+Q3</f>
        <v>1015858.1900725162</v>
      </c>
      <c r="R4" s="341"/>
      <c r="S4" s="177">
        <f t="shared" si="0"/>
        <v>0.92812332756571359</v>
      </c>
      <c r="T4" s="177">
        <f t="shared" si="1"/>
        <v>1.9589916451501024</v>
      </c>
      <c r="U4" s="177"/>
      <c r="V4" s="177">
        <f t="shared" si="2"/>
        <v>2.8871149727158159</v>
      </c>
      <c r="W4" s="169">
        <f t="shared" si="3"/>
        <v>2.8871149727158159</v>
      </c>
      <c r="X4" s="177"/>
      <c r="Y4" s="177"/>
      <c r="Z4" s="177"/>
      <c r="AA4" s="177"/>
      <c r="AB4" s="177">
        <f t="shared" si="10"/>
        <v>2.8871149727158159</v>
      </c>
      <c r="AC4" s="177"/>
      <c r="AD4" s="112">
        <f t="shared" si="4"/>
        <v>301031.41063349764</v>
      </c>
    </row>
    <row r="5" spans="1:33" x14ac:dyDescent="0.55000000000000004">
      <c r="A5" t="s">
        <v>302</v>
      </c>
      <c r="B5">
        <f>'polarization curve'!X17*1000</f>
        <v>8233528.9306411725</v>
      </c>
      <c r="C5">
        <f>B5/O2</f>
        <v>24.314994979919675</v>
      </c>
      <c r="H5" s="40">
        <v>4</v>
      </c>
      <c r="I5" s="174">
        <f t="shared" si="5"/>
        <v>2.2035991779301249</v>
      </c>
      <c r="J5" s="174">
        <f t="shared" si="6"/>
        <v>0.19865671272529209</v>
      </c>
      <c r="K5" s="146">
        <f t="shared" si="7"/>
        <v>0.2222961161024436</v>
      </c>
      <c r="L5" s="124">
        <f t="shared" si="8"/>
        <v>0.82171640263643531</v>
      </c>
      <c r="M5" s="60"/>
      <c r="N5" s="40"/>
      <c r="O5" s="60">
        <f>'polarization curve'!$AB$17</f>
        <v>338619.39669083874</v>
      </c>
      <c r="P5" s="179">
        <f t="shared" si="9"/>
        <v>49.648033296351343</v>
      </c>
      <c r="Q5" s="40">
        <f t="shared" ref="Q5:Q22" si="11">O5+Q4</f>
        <v>1354477.5867633549</v>
      </c>
      <c r="R5" s="341"/>
      <c r="S5" s="177">
        <f t="shared" si="0"/>
        <v>0.89242627650549367</v>
      </c>
      <c r="T5" s="177">
        <f t="shared" si="1"/>
        <v>1.883645812644329</v>
      </c>
      <c r="U5" s="177"/>
      <c r="V5" s="177">
        <f t="shared" si="2"/>
        <v>2.7760720891498227</v>
      </c>
      <c r="W5" s="169">
        <f t="shared" si="3"/>
        <v>2.7760720891498227</v>
      </c>
      <c r="X5" s="177"/>
      <c r="Y5" s="177"/>
      <c r="Z5" s="177"/>
      <c r="AA5" s="177"/>
      <c r="AB5" s="177">
        <f t="shared" si="10"/>
        <v>2.7760720891498227</v>
      </c>
      <c r="AC5" s="177"/>
      <c r="AD5" s="112">
        <f t="shared" si="4"/>
        <v>289453.27945528616</v>
      </c>
    </row>
    <row r="6" spans="1:33" x14ac:dyDescent="0.55000000000000004">
      <c r="H6" s="40">
        <v>5</v>
      </c>
      <c r="I6" s="174">
        <f t="shared" si="5"/>
        <v>2.2035991779301249</v>
      </c>
      <c r="J6" s="174">
        <f t="shared" si="6"/>
        <v>0.19865671272529209</v>
      </c>
      <c r="K6" s="146">
        <f t="shared" si="7"/>
        <v>0.2222961161024436</v>
      </c>
      <c r="L6" s="124">
        <f t="shared" si="8"/>
        <v>0.82171640263643531</v>
      </c>
      <c r="M6" s="60"/>
      <c r="N6" s="40"/>
      <c r="O6" s="60">
        <f>'polarization curve'!$AB$17</f>
        <v>338619.39669083874</v>
      </c>
      <c r="P6" s="179">
        <f t="shared" si="9"/>
        <v>52.895644993020341</v>
      </c>
      <c r="Q6" s="40">
        <f t="shared" si="11"/>
        <v>1693096.9834541937</v>
      </c>
      <c r="R6" s="341"/>
      <c r="S6" s="177">
        <f t="shared" si="0"/>
        <v>0.85810218894759005</v>
      </c>
      <c r="T6" s="177">
        <f t="shared" si="1"/>
        <v>1.811197896773393</v>
      </c>
      <c r="U6" s="177"/>
      <c r="V6" s="177">
        <f t="shared" si="2"/>
        <v>2.669300085720983</v>
      </c>
      <c r="W6" s="169">
        <f t="shared" si="3"/>
        <v>2.669300085720983</v>
      </c>
      <c r="X6" s="177"/>
      <c r="Y6" s="177"/>
      <c r="Z6" s="177"/>
      <c r="AA6" s="177"/>
      <c r="AB6" s="177">
        <f t="shared" si="10"/>
        <v>2.669300085720983</v>
      </c>
      <c r="AC6" s="177"/>
      <c r="AD6" s="112">
        <f t="shared" si="4"/>
        <v>278320.4610146982</v>
      </c>
    </row>
    <row r="7" spans="1:33" x14ac:dyDescent="0.55000000000000004">
      <c r="H7" s="40">
        <v>6</v>
      </c>
      <c r="I7" s="174">
        <f t="shared" si="5"/>
        <v>2.2035991779301249</v>
      </c>
      <c r="J7" s="174">
        <f t="shared" si="6"/>
        <v>0.19865671272529209</v>
      </c>
      <c r="K7" s="146">
        <f t="shared" si="7"/>
        <v>0.2222961161024436</v>
      </c>
      <c r="L7" s="124">
        <f t="shared" si="8"/>
        <v>0.82171640263643531</v>
      </c>
      <c r="M7" s="60"/>
      <c r="N7" s="40"/>
      <c r="O7" s="60">
        <f>'polarization curve'!$AB$17</f>
        <v>338619.39669083874</v>
      </c>
      <c r="P7" s="179">
        <f t="shared" si="9"/>
        <v>56.143256689689338</v>
      </c>
      <c r="Q7" s="40">
        <f t="shared" si="11"/>
        <v>2031716.3801450324</v>
      </c>
      <c r="R7" s="341"/>
      <c r="S7" s="177">
        <f t="shared" si="0"/>
        <v>0.82509825860345198</v>
      </c>
      <c r="T7" s="177">
        <f t="shared" si="1"/>
        <v>1.7415364392051857</v>
      </c>
      <c r="U7" s="177"/>
      <c r="V7" s="177">
        <f t="shared" si="2"/>
        <v>2.5666346978086376</v>
      </c>
      <c r="W7" s="169">
        <f t="shared" si="3"/>
        <v>2.5666346978086376</v>
      </c>
      <c r="X7" s="177"/>
      <c r="Y7" s="177"/>
      <c r="Z7" s="177"/>
      <c r="AA7" s="177"/>
      <c r="AB7" s="177">
        <f t="shared" si="10"/>
        <v>2.5666346978086376</v>
      </c>
      <c r="AC7" s="177"/>
      <c r="AD7" s="112">
        <f t="shared" si="4"/>
        <v>267615.82789874828</v>
      </c>
    </row>
    <row r="8" spans="1:33" x14ac:dyDescent="0.55000000000000004">
      <c r="H8" s="40">
        <v>7</v>
      </c>
      <c r="I8" s="174">
        <f t="shared" si="5"/>
        <v>2.2035991779301249</v>
      </c>
      <c r="J8" s="174">
        <f t="shared" si="6"/>
        <v>0.19865671272529209</v>
      </c>
      <c r="K8" s="146">
        <f t="shared" si="7"/>
        <v>0.2222961161024436</v>
      </c>
      <c r="L8" s="124">
        <f t="shared" si="8"/>
        <v>0.82171640263643531</v>
      </c>
      <c r="M8" s="60"/>
      <c r="N8" s="40"/>
      <c r="O8" s="60">
        <f>'polarization curve'!$AB$17</f>
        <v>338619.39669083874</v>
      </c>
      <c r="P8" s="179">
        <f t="shared" si="9"/>
        <v>59.390868386358335</v>
      </c>
      <c r="Q8" s="40">
        <f t="shared" si="11"/>
        <v>2370335.7768358709</v>
      </c>
      <c r="R8" s="341"/>
      <c r="S8" s="177">
        <f t="shared" si="0"/>
        <v>0.7933637101956269</v>
      </c>
      <c r="T8" s="177">
        <f t="shared" si="1"/>
        <v>1.6745542684665249</v>
      </c>
      <c r="U8" s="177"/>
      <c r="V8" s="177">
        <f t="shared" si="2"/>
        <v>2.4679179786621517</v>
      </c>
      <c r="W8" s="169">
        <f t="shared" si="3"/>
        <v>2.4679179786621517</v>
      </c>
      <c r="X8" s="177"/>
      <c r="Y8" s="177"/>
      <c r="Z8" s="177"/>
      <c r="AA8" s="177"/>
      <c r="AB8" s="177">
        <f t="shared" si="10"/>
        <v>2.4679179786621517</v>
      </c>
      <c r="AC8" s="177"/>
      <c r="AD8" s="112">
        <f t="shared" si="4"/>
        <v>257322.91144110414</v>
      </c>
    </row>
    <row r="9" spans="1:33" x14ac:dyDescent="0.55000000000000004">
      <c r="H9" s="40">
        <v>8</v>
      </c>
      <c r="I9" s="174">
        <f t="shared" si="5"/>
        <v>2.2035991779301249</v>
      </c>
      <c r="J9" s="174">
        <f t="shared" si="6"/>
        <v>0.19865671272529209</v>
      </c>
      <c r="K9" s="146">
        <f t="shared" si="7"/>
        <v>0.2222961161024436</v>
      </c>
      <c r="L9" s="124">
        <f t="shared" si="8"/>
        <v>0.82171640263643531</v>
      </c>
      <c r="M9" s="60"/>
      <c r="N9" s="40"/>
      <c r="O9" s="60">
        <f>'polarization curve'!$AB$17</f>
        <v>338619.39669083874</v>
      </c>
      <c r="P9" s="179">
        <f t="shared" si="9"/>
        <v>62.638480083027332</v>
      </c>
      <c r="Q9" s="40">
        <f t="shared" si="11"/>
        <v>2708955.1735267099</v>
      </c>
      <c r="R9" s="341"/>
      <c r="S9" s="177">
        <f t="shared" si="0"/>
        <v>0.76284972134194884</v>
      </c>
      <c r="T9" s="177">
        <f t="shared" si="1"/>
        <v>1.6101483350639658</v>
      </c>
      <c r="U9" s="177"/>
      <c r="V9" s="177">
        <f t="shared" si="2"/>
        <v>2.3729980564059145</v>
      </c>
      <c r="W9" s="169">
        <f t="shared" si="3"/>
        <v>2.372998056405915</v>
      </c>
      <c r="X9" s="177"/>
      <c r="Y9" s="177"/>
      <c r="Z9" s="177"/>
      <c r="AA9" s="177"/>
      <c r="AB9" s="177">
        <f t="shared" si="10"/>
        <v>2.372998056405915</v>
      </c>
      <c r="AC9" s="177"/>
      <c r="AD9" s="112">
        <f t="shared" si="4"/>
        <v>247425.87638567702</v>
      </c>
    </row>
    <row r="10" spans="1:33" ht="14.7" thickBot="1" x14ac:dyDescent="0.6">
      <c r="H10" s="40">
        <v>9</v>
      </c>
      <c r="I10" s="174">
        <f t="shared" si="5"/>
        <v>2.2035991779301249</v>
      </c>
      <c r="J10" s="174">
        <f t="shared" si="6"/>
        <v>0.19865671272529209</v>
      </c>
      <c r="K10" s="146">
        <f t="shared" si="7"/>
        <v>0.2222961161024436</v>
      </c>
      <c r="L10" s="124">
        <f t="shared" si="8"/>
        <v>0.82171640263643531</v>
      </c>
      <c r="M10" s="60"/>
      <c r="N10" s="40"/>
      <c r="O10" s="60">
        <f>'polarization curve'!$AB$17</f>
        <v>338619.39669083874</v>
      </c>
      <c r="P10" s="179">
        <f t="shared" si="9"/>
        <v>65.886091779696329</v>
      </c>
      <c r="Q10" s="40">
        <f t="shared" si="11"/>
        <v>3047574.5702175489</v>
      </c>
      <c r="R10" s="341"/>
      <c r="S10" s="177">
        <f t="shared" si="0"/>
        <v>0.7335093474441815</v>
      </c>
      <c r="T10" s="177">
        <f t="shared" si="1"/>
        <v>1.5482195529461209</v>
      </c>
      <c r="U10" s="177"/>
      <c r="V10" s="177">
        <f t="shared" si="2"/>
        <v>2.2817289003903025</v>
      </c>
      <c r="W10" s="169">
        <f t="shared" si="3"/>
        <v>2.2817289003903025</v>
      </c>
      <c r="X10" s="177"/>
      <c r="Y10" s="177"/>
      <c r="Z10" s="177"/>
      <c r="AA10" s="177"/>
      <c r="AB10" s="177">
        <f t="shared" si="10"/>
        <v>2.2817289003903025</v>
      </c>
      <c r="AC10" s="177"/>
      <c r="AD10" s="112">
        <f t="shared" si="4"/>
        <v>237909.49652468943</v>
      </c>
    </row>
    <row r="11" spans="1:33" ht="14.7" thickBot="1" x14ac:dyDescent="0.6">
      <c r="A11" s="116" t="s">
        <v>90</v>
      </c>
      <c r="H11" s="40">
        <v>10</v>
      </c>
      <c r="I11" s="174">
        <f t="shared" si="5"/>
        <v>2.2035991779301249</v>
      </c>
      <c r="J11" s="174">
        <f t="shared" si="6"/>
        <v>0.19865671272529209</v>
      </c>
      <c r="K11" s="146">
        <f t="shared" si="7"/>
        <v>0.2222961161024436</v>
      </c>
      <c r="L11" s="124">
        <f t="shared" si="8"/>
        <v>0.82171640263643531</v>
      </c>
      <c r="M11" s="60"/>
      <c r="N11" s="40"/>
      <c r="O11" s="60">
        <f>'polarization curve'!$AB$17</f>
        <v>338619.39669083874</v>
      </c>
      <c r="P11" s="179">
        <f t="shared" si="9"/>
        <v>69.133703476365341</v>
      </c>
      <c r="Q11" s="40">
        <f t="shared" si="11"/>
        <v>3386193.9669083878</v>
      </c>
      <c r="R11" s="341"/>
      <c r="S11" s="177">
        <f t="shared" si="0"/>
        <v>0.70529744946555917</v>
      </c>
      <c r="T11" s="177">
        <f t="shared" si="1"/>
        <v>1.4886726470635778</v>
      </c>
      <c r="U11" s="177"/>
      <c r="V11" s="177">
        <f t="shared" si="2"/>
        <v>2.1939700965291369</v>
      </c>
      <c r="W11" s="169">
        <f t="shared" si="3"/>
        <v>2.1939700965291369</v>
      </c>
      <c r="X11" s="177"/>
      <c r="Y11" s="177"/>
      <c r="Z11" s="177"/>
      <c r="AA11" s="177"/>
      <c r="AB11" s="177">
        <f t="shared" si="10"/>
        <v>2.1939700965291369</v>
      </c>
      <c r="AC11" s="177"/>
      <c r="AD11" s="112">
        <f t="shared" si="4"/>
        <v>228759.13127373983</v>
      </c>
    </row>
    <row r="12" spans="1:33" ht="14.7" thickBot="1" x14ac:dyDescent="0.6">
      <c r="A12" s="16" t="s">
        <v>314</v>
      </c>
      <c r="B12" s="138">
        <f>'output H2 PROVA'!B12*'output H2 PROVA'!B13/10^6</f>
        <v>0.82171640263643531</v>
      </c>
      <c r="H12" s="40">
        <v>11</v>
      </c>
      <c r="I12" s="174">
        <f t="shared" si="5"/>
        <v>2.2035991779301249</v>
      </c>
      <c r="J12" s="174">
        <f t="shared" si="6"/>
        <v>0.19865671272529209</v>
      </c>
      <c r="K12" s="146">
        <f t="shared" si="7"/>
        <v>0.2222961161024436</v>
      </c>
      <c r="L12" s="124">
        <f t="shared" si="8"/>
        <v>0.82171640263643531</v>
      </c>
      <c r="M12" s="60"/>
      <c r="N12" s="40">
        <f>B31</f>
        <v>6.6405266772378013</v>
      </c>
      <c r="O12" s="60">
        <f>'polarization curve'!$AB$17</f>
        <v>338619.39669083874</v>
      </c>
      <c r="P12" s="179">
        <f t="shared" si="9"/>
        <v>79.021841850272153</v>
      </c>
      <c r="Q12" s="40">
        <f t="shared" si="11"/>
        <v>3724813.3635992268</v>
      </c>
      <c r="R12" s="341"/>
      <c r="S12" s="177">
        <f t="shared" si="0"/>
        <v>0.67817062448611465</v>
      </c>
      <c r="T12" s="177">
        <f t="shared" si="1"/>
        <v>1.431416006791902</v>
      </c>
      <c r="U12" s="177"/>
      <c r="V12" s="177">
        <f t="shared" si="2"/>
        <v>2.1095866312780167</v>
      </c>
      <c r="W12" s="169">
        <f t="shared" si="3"/>
        <v>2.1095866312780167</v>
      </c>
      <c r="X12" s="177"/>
      <c r="Y12" s="177"/>
      <c r="Z12" s="177"/>
      <c r="AA12" s="177"/>
      <c r="AB12" s="177">
        <f>(I12+K12+L12+M12+N12)/((1+0.04)^H12)</f>
        <v>6.4231461363488798</v>
      </c>
      <c r="AC12" s="177"/>
      <c r="AD12" s="112">
        <f t="shared" si="4"/>
        <v>219960.70314782677</v>
      </c>
    </row>
    <row r="13" spans="1:33" ht="14.7" thickBot="1" x14ac:dyDescent="0.6">
      <c r="H13" s="40">
        <v>12</v>
      </c>
      <c r="I13" s="174">
        <f t="shared" si="5"/>
        <v>2.2035991779301249</v>
      </c>
      <c r="J13" s="174">
        <f t="shared" si="6"/>
        <v>0.19865671272529209</v>
      </c>
      <c r="K13" s="146">
        <f t="shared" si="7"/>
        <v>0.2222961161024436</v>
      </c>
      <c r="L13" s="124">
        <f t="shared" si="8"/>
        <v>0.82171640263643531</v>
      </c>
      <c r="M13" s="60"/>
      <c r="N13" s="40"/>
      <c r="O13" s="60">
        <f>'polarization curve'!$AB$17</f>
        <v>338619.39669083874</v>
      </c>
      <c r="P13" s="179">
        <f t="shared" si="9"/>
        <v>82.269453546941165</v>
      </c>
      <c r="Q13" s="40">
        <f t="shared" si="11"/>
        <v>4063432.7602900658</v>
      </c>
      <c r="R13" s="341"/>
      <c r="S13" s="177">
        <f t="shared" si="0"/>
        <v>0.6520871389289562</v>
      </c>
      <c r="T13" s="177">
        <f t="shared" si="1"/>
        <v>1.3763615449922131</v>
      </c>
      <c r="U13" s="177"/>
      <c r="V13" s="177">
        <f t="shared" si="2"/>
        <v>2.0284486839211695</v>
      </c>
      <c r="W13" s="169">
        <f t="shared" si="3"/>
        <v>2.0284486839211691</v>
      </c>
      <c r="X13" s="177"/>
      <c r="Y13" s="177"/>
      <c r="Z13" s="177"/>
      <c r="AA13" s="177"/>
      <c r="AB13" s="177">
        <f t="shared" si="10"/>
        <v>2.0284486839211691</v>
      </c>
      <c r="AC13" s="177"/>
      <c r="AD13" s="112">
        <f t="shared" si="4"/>
        <v>211500.67610367955</v>
      </c>
    </row>
    <row r="14" spans="1:33" ht="14.7" thickBot="1" x14ac:dyDescent="0.6">
      <c r="A14" s="116" t="s">
        <v>92</v>
      </c>
      <c r="H14" s="40">
        <v>13</v>
      </c>
      <c r="I14" s="174">
        <f t="shared" si="5"/>
        <v>2.2035991779301249</v>
      </c>
      <c r="J14" s="174">
        <f t="shared" si="6"/>
        <v>0.19865671272529209</v>
      </c>
      <c r="K14" s="146">
        <f t="shared" si="7"/>
        <v>0.2222961161024436</v>
      </c>
      <c r="L14" s="124">
        <f t="shared" si="8"/>
        <v>0.82171640263643531</v>
      </c>
      <c r="M14" s="60"/>
      <c r="N14" s="40"/>
      <c r="O14" s="60">
        <f>'polarization curve'!$AB$17</f>
        <v>338619.39669083874</v>
      </c>
      <c r="P14" s="179">
        <f t="shared" si="9"/>
        <v>85.517065243610176</v>
      </c>
      <c r="Q14" s="40">
        <f t="shared" si="11"/>
        <v>4402052.1569809048</v>
      </c>
      <c r="R14" s="341"/>
      <c r="S14" s="177">
        <f t="shared" si="0"/>
        <v>0.6270068643547656</v>
      </c>
      <c r="T14" s="177">
        <f t="shared" si="1"/>
        <v>1.3234245624925125</v>
      </c>
      <c r="U14" s="177"/>
      <c r="V14" s="177">
        <f t="shared" si="2"/>
        <v>1.950431426847278</v>
      </c>
      <c r="W14" s="169">
        <f t="shared" si="3"/>
        <v>1.950431426847278</v>
      </c>
      <c r="X14" s="177"/>
      <c r="Y14" s="177"/>
      <c r="Z14" s="177"/>
      <c r="AA14" s="177"/>
      <c r="AB14" s="177">
        <f t="shared" si="10"/>
        <v>1.950431426847278</v>
      </c>
      <c r="AC14" s="177"/>
      <c r="AD14" s="112">
        <f t="shared" si="4"/>
        <v>203366.03471507647</v>
      </c>
    </row>
    <row r="15" spans="1:33" x14ac:dyDescent="0.55000000000000004">
      <c r="A15" s="7" t="s">
        <v>93</v>
      </c>
      <c r="B15" s="135">
        <f>'output H2 PROVA'!B15*'output H2 PROVA'!B14</f>
        <v>0.22177999999999998</v>
      </c>
      <c r="H15" s="40">
        <v>14</v>
      </c>
      <c r="I15" s="174">
        <f t="shared" si="5"/>
        <v>2.2035991779301249</v>
      </c>
      <c r="J15" s="174">
        <f t="shared" si="6"/>
        <v>0.19865671272529209</v>
      </c>
      <c r="K15" s="146">
        <f t="shared" si="7"/>
        <v>0.2222961161024436</v>
      </c>
      <c r="L15" s="124">
        <f t="shared" si="8"/>
        <v>0.82171640263643531</v>
      </c>
      <c r="M15" s="60"/>
      <c r="N15" s="40"/>
      <c r="O15" s="60">
        <f>'polarization curve'!$AB$17</f>
        <v>338619.39669083874</v>
      </c>
      <c r="P15" s="179">
        <f t="shared" si="9"/>
        <v>88.764676940279188</v>
      </c>
      <c r="Q15" s="40">
        <f t="shared" si="11"/>
        <v>4740671.5536717437</v>
      </c>
      <c r="R15" s="341"/>
      <c r="S15" s="177">
        <f t="shared" si="0"/>
        <v>0.60289121572573612</v>
      </c>
      <c r="T15" s="177">
        <f t="shared" si="1"/>
        <v>1.272523617781262</v>
      </c>
      <c r="U15" s="177"/>
      <c r="V15" s="177">
        <f t="shared" si="2"/>
        <v>1.8754148335069982</v>
      </c>
      <c r="W15" s="169">
        <f t="shared" si="3"/>
        <v>1.8754148335069982</v>
      </c>
      <c r="X15" s="177"/>
      <c r="Y15" s="177"/>
      <c r="Z15" s="177"/>
      <c r="AA15" s="177"/>
      <c r="AB15" s="177">
        <f t="shared" si="10"/>
        <v>1.8754148335069982</v>
      </c>
      <c r="AC15" s="177"/>
      <c r="AD15" s="112">
        <f t="shared" si="4"/>
        <v>195544.26414911202</v>
      </c>
    </row>
    <row r="16" spans="1:33" ht="14.7" thickBot="1" x14ac:dyDescent="0.6">
      <c r="A16" s="16" t="s">
        <v>94</v>
      </c>
      <c r="B16" s="16"/>
      <c r="H16" s="40">
        <v>15</v>
      </c>
      <c r="I16" s="174">
        <f t="shared" si="5"/>
        <v>2.2035991779301249</v>
      </c>
      <c r="J16" s="174">
        <f t="shared" si="6"/>
        <v>0.19865671272529209</v>
      </c>
      <c r="K16" s="146">
        <f t="shared" si="7"/>
        <v>0.2222961161024436</v>
      </c>
      <c r="L16" s="124">
        <f t="shared" si="8"/>
        <v>0.82171640263643531</v>
      </c>
      <c r="M16" s="60"/>
      <c r="N16" s="40"/>
      <c r="O16" s="60">
        <f>'polarization curve'!$AB$17</f>
        <v>338619.39669083874</v>
      </c>
      <c r="P16" s="179">
        <f t="shared" si="9"/>
        <v>92.012288636948199</v>
      </c>
      <c r="Q16" s="40">
        <f t="shared" si="11"/>
        <v>5079290.9503625827</v>
      </c>
      <c r="R16" s="341"/>
      <c r="S16" s="177">
        <f t="shared" si="0"/>
        <v>0.57970309204397708</v>
      </c>
      <c r="T16" s="177">
        <f t="shared" si="1"/>
        <v>1.2235804017127521</v>
      </c>
      <c r="U16" s="177"/>
      <c r="V16" s="177">
        <f t="shared" si="2"/>
        <v>1.8032834937567292</v>
      </c>
      <c r="W16" s="169">
        <f t="shared" si="3"/>
        <v>1.803283493756729</v>
      </c>
      <c r="X16" s="177"/>
      <c r="Y16" s="177"/>
      <c r="Z16" s="177"/>
      <c r="AA16" s="177"/>
      <c r="AB16" s="177">
        <f t="shared" si="10"/>
        <v>1.803283493756729</v>
      </c>
      <c r="AC16" s="177"/>
      <c r="AD16" s="112">
        <f t="shared" si="4"/>
        <v>188023.33091260769</v>
      </c>
    </row>
    <row r="17" spans="1:43" ht="14.7" thickBot="1" x14ac:dyDescent="0.6">
      <c r="H17" s="40">
        <v>16</v>
      </c>
      <c r="I17" s="174">
        <f t="shared" si="5"/>
        <v>2.2035991779301249</v>
      </c>
      <c r="J17" s="174">
        <f t="shared" si="6"/>
        <v>0.19865671272529209</v>
      </c>
      <c r="K17" s="146">
        <f t="shared" si="7"/>
        <v>0.2222961161024436</v>
      </c>
      <c r="L17" s="124">
        <f t="shared" si="8"/>
        <v>0.82171640263643531</v>
      </c>
      <c r="M17" s="60"/>
      <c r="N17" s="40"/>
      <c r="O17" s="60">
        <f>'polarization curve'!$AB$17</f>
        <v>338619.39669083874</v>
      </c>
      <c r="P17" s="179">
        <f t="shared" si="9"/>
        <v>95.25990033361721</v>
      </c>
      <c r="Q17" s="40">
        <f t="shared" si="11"/>
        <v>5417910.3470534217</v>
      </c>
      <c r="R17" s="341"/>
      <c r="S17" s="177">
        <f t="shared" si="0"/>
        <v>0.5574068192730548</v>
      </c>
      <c r="T17" s="177">
        <f t="shared" si="1"/>
        <v>1.176519617031492</v>
      </c>
      <c r="U17" s="177"/>
      <c r="V17" s="177">
        <f t="shared" si="2"/>
        <v>1.7339264363045468</v>
      </c>
      <c r="W17" s="169">
        <f t="shared" si="3"/>
        <v>1.7339264363045468</v>
      </c>
      <c r="X17" s="177"/>
      <c r="Y17" s="177"/>
      <c r="Z17" s="177"/>
      <c r="AA17" s="177"/>
      <c r="AB17" s="177">
        <f t="shared" si="10"/>
        <v>1.7339264363045468</v>
      </c>
      <c r="AC17" s="177"/>
      <c r="AD17" s="112">
        <f t="shared" si="4"/>
        <v>180791.66433904585</v>
      </c>
    </row>
    <row r="18" spans="1:43" ht="14.7" thickBot="1" x14ac:dyDescent="0.6">
      <c r="A18" s="116" t="s">
        <v>96</v>
      </c>
      <c r="H18" s="40">
        <v>17</v>
      </c>
      <c r="I18" s="174">
        <f t="shared" si="5"/>
        <v>2.2035991779301249</v>
      </c>
      <c r="J18" s="174">
        <f t="shared" si="6"/>
        <v>0.19865671272529209</v>
      </c>
      <c r="K18" s="146">
        <f t="shared" si="7"/>
        <v>0.2222961161024436</v>
      </c>
      <c r="L18" s="124">
        <f t="shared" si="8"/>
        <v>0.82171640263643531</v>
      </c>
      <c r="M18" s="60"/>
      <c r="N18" s="40"/>
      <c r="O18" s="60">
        <f>'polarization curve'!$AB$17</f>
        <v>338619.39669083874</v>
      </c>
      <c r="P18" s="179">
        <f t="shared" si="9"/>
        <v>98.507512030286222</v>
      </c>
      <c r="Q18" s="40">
        <f t="shared" si="11"/>
        <v>5756529.7437442606</v>
      </c>
      <c r="R18" s="341"/>
      <c r="S18" s="177">
        <f t="shared" si="0"/>
        <v>0.53596809545486035</v>
      </c>
      <c r="T18" s="177">
        <f t="shared" si="1"/>
        <v>1.1312688625302809</v>
      </c>
      <c r="U18" s="177"/>
      <c r="V18" s="177">
        <f t="shared" si="2"/>
        <v>1.6672369579851414</v>
      </c>
      <c r="W18" s="169">
        <f t="shared" si="3"/>
        <v>1.6672369579851412</v>
      </c>
      <c r="X18" s="177"/>
      <c r="Y18" s="177"/>
      <c r="Z18" s="177"/>
      <c r="AA18" s="177"/>
      <c r="AB18" s="177">
        <f t="shared" si="10"/>
        <v>1.6672369579851412</v>
      </c>
      <c r="AC18" s="177"/>
      <c r="AD18" s="112">
        <f t="shared" si="4"/>
        <v>173838.13878754407</v>
      </c>
    </row>
    <row r="19" spans="1:43" x14ac:dyDescent="0.55000000000000004">
      <c r="A19" s="7" t="s">
        <v>93</v>
      </c>
      <c r="B19" s="135">
        <f>'output H2 PROVA'!G16+'output H2 PROVA'!K17</f>
        <v>3.2331731234863463</v>
      </c>
      <c r="C19" t="s">
        <v>168</v>
      </c>
      <c r="H19" s="40">
        <v>18</v>
      </c>
      <c r="I19" s="174">
        <f t="shared" si="5"/>
        <v>2.2035991779301249</v>
      </c>
      <c r="J19" s="174">
        <f t="shared" si="6"/>
        <v>0.19865671272529209</v>
      </c>
      <c r="K19" s="146">
        <f t="shared" si="7"/>
        <v>0.2222961161024436</v>
      </c>
      <c r="L19" s="124">
        <f t="shared" si="8"/>
        <v>0.82171640263643531</v>
      </c>
      <c r="M19" s="60"/>
      <c r="N19" s="40"/>
      <c r="O19" s="60">
        <f>'polarization curve'!$AB$17</f>
        <v>338619.39669083874</v>
      </c>
      <c r="P19" s="179">
        <f t="shared" si="9"/>
        <v>101.75512372695523</v>
      </c>
      <c r="Q19" s="40">
        <f t="shared" si="11"/>
        <v>6095149.1404350996</v>
      </c>
      <c r="R19" s="341"/>
      <c r="S19" s="177">
        <f t="shared" si="0"/>
        <v>0.51535393793736572</v>
      </c>
      <c r="T19" s="177">
        <f t="shared" si="1"/>
        <v>1.0877585216637313</v>
      </c>
      <c r="U19" s="177"/>
      <c r="V19" s="177">
        <f t="shared" si="2"/>
        <v>1.6031124596010971</v>
      </c>
      <c r="W19" s="169">
        <f t="shared" si="3"/>
        <v>1.6031124596010971</v>
      </c>
      <c r="X19" s="177"/>
      <c r="Y19" s="177"/>
      <c r="Z19" s="177"/>
      <c r="AA19" s="177"/>
      <c r="AB19" s="177">
        <f t="shared" si="10"/>
        <v>1.6031124596010971</v>
      </c>
      <c r="AC19" s="177"/>
      <c r="AD19" s="112">
        <f t="shared" si="4"/>
        <v>167152.05652648467</v>
      </c>
    </row>
    <row r="20" spans="1:43" ht="14.7" thickBot="1" x14ac:dyDescent="0.6">
      <c r="A20" s="16" t="s">
        <v>94</v>
      </c>
      <c r="B20" s="16">
        <f>'output H2 PROVA'!G17*'output H2 PROVA'!G15/10^6+'output H2 PROVA'!K18</f>
        <v>1.8000000000000002E-2</v>
      </c>
      <c r="C20" t="s">
        <v>97</v>
      </c>
      <c r="H20" s="40">
        <v>19</v>
      </c>
      <c r="I20" s="174">
        <f t="shared" si="5"/>
        <v>2.2035991779301249</v>
      </c>
      <c r="J20" s="174">
        <f t="shared" si="6"/>
        <v>0.19865671272529209</v>
      </c>
      <c r="K20" s="146">
        <f t="shared" si="7"/>
        <v>0.2222961161024436</v>
      </c>
      <c r="L20" s="124">
        <f t="shared" si="8"/>
        <v>0.82171640263643531</v>
      </c>
      <c r="M20" s="60"/>
      <c r="N20" s="45"/>
      <c r="O20" s="60">
        <f>'polarization curve'!$AB$17</f>
        <v>338619.39669083874</v>
      </c>
      <c r="P20" s="179">
        <f t="shared" si="9"/>
        <v>105.00273542362424</v>
      </c>
      <c r="Q20" s="40">
        <f t="shared" si="11"/>
        <v>6433768.5371259386</v>
      </c>
      <c r="R20" s="341"/>
      <c r="S20" s="177">
        <f t="shared" si="0"/>
        <v>0.49553263263208241</v>
      </c>
      <c r="T20" s="177">
        <f t="shared" si="1"/>
        <v>1.0459216554458957</v>
      </c>
      <c r="U20" s="177"/>
      <c r="V20" s="177">
        <f t="shared" si="2"/>
        <v>1.541454288077978</v>
      </c>
      <c r="W20" s="169">
        <f t="shared" si="3"/>
        <v>1.541454288077978</v>
      </c>
      <c r="X20" s="177"/>
      <c r="Y20" s="177"/>
      <c r="Z20" s="177"/>
      <c r="AA20" s="177"/>
      <c r="AB20" s="177">
        <f t="shared" si="10"/>
        <v>1.541454288077978</v>
      </c>
      <c r="AC20" s="177"/>
      <c r="AD20" s="112">
        <f t="shared" si="4"/>
        <v>160723.13127546603</v>
      </c>
    </row>
    <row r="21" spans="1:43" ht="14.7" thickBot="1" x14ac:dyDescent="0.6">
      <c r="H21" s="40">
        <v>20</v>
      </c>
      <c r="I21" s="174">
        <f t="shared" si="5"/>
        <v>2.2035991779301249</v>
      </c>
      <c r="J21" s="174">
        <f t="shared" si="6"/>
        <v>0.19865671272529209</v>
      </c>
      <c r="K21" s="146">
        <f t="shared" si="7"/>
        <v>0.2222961161024436</v>
      </c>
      <c r="L21" s="124">
        <f t="shared" si="8"/>
        <v>0.82171640263643531</v>
      </c>
      <c r="M21" s="60"/>
      <c r="N21" s="40"/>
      <c r="O21" s="60">
        <f>'polarization curve'!$AB$17</f>
        <v>338619.39669083874</v>
      </c>
      <c r="P21" s="179">
        <f t="shared" si="9"/>
        <v>108.25034712029326</v>
      </c>
      <c r="Q21" s="40">
        <f t="shared" si="11"/>
        <v>6772387.9338167775</v>
      </c>
      <c r="R21" s="341"/>
      <c r="S21" s="177">
        <f t="shared" si="0"/>
        <v>0.47647368522315614</v>
      </c>
      <c r="T21" s="177">
        <f t="shared" si="1"/>
        <v>1.0056938994672073</v>
      </c>
      <c r="U21" s="177"/>
      <c r="V21" s="177">
        <f t="shared" si="2"/>
        <v>1.4821675846903635</v>
      </c>
      <c r="W21" s="169">
        <f t="shared" si="3"/>
        <v>1.4821675846903635</v>
      </c>
      <c r="X21" s="177"/>
      <c r="Y21" s="177"/>
      <c r="Z21" s="177"/>
      <c r="AA21" s="177"/>
      <c r="AB21" s="177">
        <f t="shared" si="10"/>
        <v>1.4821675846903635</v>
      </c>
      <c r="AC21" s="177"/>
      <c r="AD21" s="112">
        <f t="shared" si="4"/>
        <v>154541.47238025579</v>
      </c>
    </row>
    <row r="22" spans="1:43" ht="14.7" thickBot="1" x14ac:dyDescent="0.6">
      <c r="A22" s="128" t="s">
        <v>98</v>
      </c>
      <c r="B22" s="130"/>
      <c r="C22" s="130"/>
      <c r="G22" t="s">
        <v>218</v>
      </c>
      <c r="H22" s="86">
        <v>21</v>
      </c>
      <c r="I22" s="180">
        <f t="shared" si="5"/>
        <v>2.2035991779301249</v>
      </c>
      <c r="J22" s="174">
        <f t="shared" si="6"/>
        <v>0.19865671272529209</v>
      </c>
      <c r="K22" s="147">
        <f t="shared" si="7"/>
        <v>0.2222961161024436</v>
      </c>
      <c r="L22" s="125">
        <f t="shared" si="8"/>
        <v>0.82171640263643531</v>
      </c>
      <c r="M22" s="181">
        <f>B30</f>
        <v>3.3202633386189007</v>
      </c>
      <c r="N22" s="86"/>
      <c r="O22" s="58">
        <f>'polarization curve'!$AB$17</f>
        <v>338619.39669083874</v>
      </c>
      <c r="P22" s="182">
        <f t="shared" si="9"/>
        <v>114.81822215558117</v>
      </c>
      <c r="Q22" s="86">
        <f t="shared" si="11"/>
        <v>7111007.3305076165</v>
      </c>
      <c r="R22" s="342"/>
      <c r="S22" s="177">
        <f t="shared" si="0"/>
        <v>0.45814777425303466</v>
      </c>
      <c r="T22" s="177">
        <f t="shared" si="1"/>
        <v>0.96701336487231448</v>
      </c>
      <c r="U22" s="177"/>
      <c r="V22" s="177">
        <f t="shared" si="2"/>
        <v>1.4251611391253491</v>
      </c>
      <c r="W22" s="183">
        <f t="shared" si="3"/>
        <v>1.4251611391253491</v>
      </c>
      <c r="X22" s="178"/>
      <c r="Y22" s="178"/>
      <c r="Z22" s="178"/>
      <c r="AA22" s="178"/>
      <c r="AB22" s="177">
        <f>(I22+K22+L22+M22+N22)/((1+0.04)^H22)</f>
        <v>2.882204259987259</v>
      </c>
      <c r="AC22" s="177"/>
      <c r="AD22" s="112">
        <f t="shared" si="4"/>
        <v>148597.56959639976</v>
      </c>
      <c r="AE22" s="176"/>
    </row>
    <row r="23" spans="1:43" x14ac:dyDescent="0.55000000000000004">
      <c r="A23" s="24" t="s">
        <v>185</v>
      </c>
      <c r="B23" s="132">
        <f>'output H2 PROVA'!R14</f>
        <v>2483.2089090661511</v>
      </c>
      <c r="C23" s="130"/>
      <c r="K23" s="146">
        <f>(K2-J2)*21+K26</f>
        <v>5.1646459090714973</v>
      </c>
      <c r="R23" s="228">
        <f>SUM(S2:S22)</f>
        <v>14.646618612146087</v>
      </c>
      <c r="S23" s="228">
        <f>SUM(T2:T22)</f>
        <v>30.914645326445218</v>
      </c>
      <c r="T23" s="228"/>
      <c r="U23" s="228">
        <f>SUM(V2:V22)</f>
        <v>45.561263938591317</v>
      </c>
    </row>
    <row r="24" spans="1:43" ht="14.7" thickBot="1" x14ac:dyDescent="0.6">
      <c r="A24" s="129" t="s">
        <v>186</v>
      </c>
      <c r="B24" s="133">
        <v>80</v>
      </c>
      <c r="C24" s="130"/>
    </row>
    <row r="25" spans="1:43" ht="17.100000000000001" thickBot="1" x14ac:dyDescent="0.8">
      <c r="A25" s="131" t="s">
        <v>187</v>
      </c>
      <c r="B25" s="134">
        <f>B23*B24/10^6</f>
        <v>0.19865671272529209</v>
      </c>
      <c r="I25" s="126" t="s">
        <v>328</v>
      </c>
      <c r="J25" s="148"/>
      <c r="K25" s="148" t="s">
        <v>348</v>
      </c>
      <c r="L25" s="87" t="s">
        <v>196</v>
      </c>
      <c r="M25" s="87" t="s">
        <v>81</v>
      </c>
      <c r="N25" s="87" t="s">
        <v>82</v>
      </c>
      <c r="O25" s="127" t="s">
        <v>347</v>
      </c>
    </row>
    <row r="26" spans="1:43" ht="14.7" thickBot="1" x14ac:dyDescent="0.6">
      <c r="I26" s="118">
        <f>SUM(I2:I22)</f>
        <v>46.27558273653262</v>
      </c>
      <c r="J26" s="117"/>
      <c r="K26" s="117">
        <f>SUM(K2:K22)</f>
        <v>4.6682184381513157</v>
      </c>
      <c r="L26" s="118">
        <f>SUM(L2:L22)</f>
        <v>17.256044455365139</v>
      </c>
      <c r="M26" s="118">
        <f>M22</f>
        <v>3.3202633386189007</v>
      </c>
      <c r="N26">
        <f>SUM(N2:N22)</f>
        <v>6.6405266772378013</v>
      </c>
      <c r="O26" s="118">
        <f>G2</f>
        <v>36.657586509675355</v>
      </c>
    </row>
    <row r="27" spans="1:43" ht="14.7" thickBot="1" x14ac:dyDescent="0.6">
      <c r="A27" s="116" t="s">
        <v>99</v>
      </c>
    </row>
    <row r="28" spans="1:43" x14ac:dyDescent="0.55000000000000004">
      <c r="A28" s="7" t="s">
        <v>77</v>
      </c>
      <c r="B28" s="135">
        <f>'costo electrolyser'!C5/10^6</f>
        <v>33.202633386189007</v>
      </c>
      <c r="AA28" t="s">
        <v>353</v>
      </c>
      <c r="AB28" t="s">
        <v>354</v>
      </c>
    </row>
    <row r="29" spans="1:43" x14ac:dyDescent="0.55000000000000004">
      <c r="A29" s="7" t="s">
        <v>87</v>
      </c>
      <c r="B29" s="143">
        <f>(6*'polarization curve'!Z17*1000)/(10^6)</f>
        <v>5.63940337715149E-3</v>
      </c>
      <c r="R29" t="s">
        <v>351</v>
      </c>
      <c r="S29" t="s">
        <v>352</v>
      </c>
      <c r="U29" t="s">
        <v>349</v>
      </c>
      <c r="W29" t="s">
        <v>350</v>
      </c>
      <c r="X29" t="s">
        <v>349</v>
      </c>
      <c r="Y29" t="s">
        <v>261</v>
      </c>
      <c r="AA29">
        <f>AA2*10^6/AE2</f>
        <v>7.7165001663639314</v>
      </c>
    </row>
    <row r="30" spans="1:43" x14ac:dyDescent="0.55000000000000004">
      <c r="A30" s="7" t="s">
        <v>81</v>
      </c>
      <c r="B30" s="136">
        <f>0.1*B28</f>
        <v>3.3202633386189007</v>
      </c>
      <c r="R30">
        <f>R23*10^6/Q22</f>
        <v>2.0597108020560211</v>
      </c>
      <c r="S30">
        <f>S23*10^6/Q22</f>
        <v>4.3474354461449263</v>
      </c>
      <c r="U30" s="204">
        <f>Y2*10^6/Q22</f>
        <v>6.5558048752854017</v>
      </c>
      <c r="W30" s="204">
        <f>X2*10^6/Q22</f>
        <v>6.4071462482009487</v>
      </c>
      <c r="X30" s="204">
        <f>Y2*10^6/Q22</f>
        <v>6.5558048752854017</v>
      </c>
      <c r="Y30" s="204">
        <f>SUM(W30:X30)</f>
        <v>12.96295112348635</v>
      </c>
    </row>
    <row r="31" spans="1:43" ht="14.7" thickBot="1" x14ac:dyDescent="0.6">
      <c r="A31" s="16" t="s">
        <v>100</v>
      </c>
      <c r="B31" s="137">
        <f>B28*0.2</f>
        <v>6.6405266772378013</v>
      </c>
    </row>
    <row r="32" spans="1:43" ht="14.7" thickBot="1" x14ac:dyDescent="0.6">
      <c r="A32" s="26" t="s">
        <v>300</v>
      </c>
      <c r="B32" s="205">
        <f>'polarization curve'!Z17*1000</f>
        <v>939.90056285858157</v>
      </c>
      <c r="AH32" s="266" t="s">
        <v>368</v>
      </c>
      <c r="AI32" s="267"/>
      <c r="AJ32" s="267"/>
      <c r="AK32" s="267"/>
      <c r="AL32" s="267"/>
      <c r="AM32" s="267"/>
      <c r="AN32" s="267"/>
      <c r="AO32" s="267"/>
      <c r="AP32" s="267"/>
      <c r="AQ32" s="268"/>
    </row>
    <row r="33" spans="1:58" ht="14.7" thickBot="1" x14ac:dyDescent="0.6">
      <c r="A33" s="26" t="s">
        <v>301</v>
      </c>
      <c r="B33" s="206">
        <f>B28*10^6/B32</f>
        <v>35325.687310163587</v>
      </c>
      <c r="AH33" s="269"/>
      <c r="AI33" s="270"/>
      <c r="AJ33" s="270"/>
      <c r="AK33" s="270"/>
      <c r="AL33" s="270"/>
      <c r="AM33" s="270"/>
      <c r="AN33" s="270"/>
      <c r="AO33" s="270"/>
      <c r="AP33" s="270"/>
      <c r="AQ33" s="271"/>
    </row>
    <row r="34" spans="1:58" ht="14.7" thickBot="1" x14ac:dyDescent="0.6">
      <c r="B34" s="204"/>
    </row>
    <row r="35" spans="1:58" ht="14.7" thickBot="1" x14ac:dyDescent="0.6">
      <c r="V35" s="337" t="s">
        <v>355</v>
      </c>
      <c r="W35" s="338"/>
      <c r="X35" s="338"/>
      <c r="Y35" s="339"/>
      <c r="Z35" s="279" t="s">
        <v>363</v>
      </c>
      <c r="AA35" s="332" t="s">
        <v>356</v>
      </c>
      <c r="AB35" s="333"/>
      <c r="AC35" s="333"/>
      <c r="AD35" s="72" t="s">
        <v>364</v>
      </c>
      <c r="AH35" s="337" t="s">
        <v>353</v>
      </c>
      <c r="AI35" s="338"/>
      <c r="AJ35" s="338"/>
      <c r="AK35" s="339"/>
      <c r="AL35" s="279" t="s">
        <v>363</v>
      </c>
      <c r="AM35" s="332" t="s">
        <v>354</v>
      </c>
      <c r="AN35" s="333"/>
      <c r="AO35" s="333"/>
      <c r="AP35" s="333"/>
      <c r="AQ35" s="343"/>
      <c r="AR35" t="s">
        <v>364</v>
      </c>
      <c r="AV35" s="337" t="s">
        <v>362</v>
      </c>
      <c r="AW35" s="338"/>
      <c r="AX35" s="338"/>
      <c r="AY35" s="339"/>
      <c r="AZ35" s="57" t="s">
        <v>363</v>
      </c>
      <c r="BA35" s="332" t="s">
        <v>354</v>
      </c>
      <c r="BB35" s="333"/>
      <c r="BC35" s="333"/>
      <c r="BD35" s="333"/>
      <c r="BE35" s="232"/>
      <c r="BF35" t="s">
        <v>364</v>
      </c>
    </row>
    <row r="36" spans="1:58" ht="14.4" customHeight="1" thickBot="1" x14ac:dyDescent="0.6">
      <c r="A36" s="308" t="s">
        <v>281</v>
      </c>
      <c r="B36" s="309"/>
      <c r="C36" s="310"/>
      <c r="V36" s="229" t="s">
        <v>359</v>
      </c>
      <c r="W36" s="229" t="s">
        <v>357</v>
      </c>
      <c r="X36" s="229" t="s">
        <v>358</v>
      </c>
      <c r="Y36" s="229" t="s">
        <v>360</v>
      </c>
      <c r="Z36" s="271"/>
      <c r="AA36" s="45" t="s">
        <v>90</v>
      </c>
      <c r="AB36" s="45" t="s">
        <v>361</v>
      </c>
      <c r="AC36" s="45" t="s">
        <v>365</v>
      </c>
      <c r="AD36" s="204">
        <f>SUM(AA58:AC58)</f>
        <v>45.56126393859131</v>
      </c>
      <c r="AH36" s="229" t="s">
        <v>359</v>
      </c>
      <c r="AI36" s="229" t="s">
        <v>357</v>
      </c>
      <c r="AJ36" s="229" t="s">
        <v>358</v>
      </c>
      <c r="AK36" s="229"/>
      <c r="AL36" s="271"/>
      <c r="AM36" s="45" t="s">
        <v>90</v>
      </c>
      <c r="AN36" s="45" t="s">
        <v>361</v>
      </c>
      <c r="AO36" s="231" t="s">
        <v>365</v>
      </c>
      <c r="AP36" s="229" t="s">
        <v>360</v>
      </c>
      <c r="AR36" s="118">
        <f>SUM(AM58:AP58)</f>
        <v>51.331866564524084</v>
      </c>
      <c r="AV36" s="229" t="s">
        <v>359</v>
      </c>
      <c r="AW36" s="229" t="s">
        <v>357</v>
      </c>
      <c r="AX36" s="229" t="s">
        <v>358</v>
      </c>
      <c r="AY36" s="229"/>
      <c r="AZ36" s="118">
        <f>SUM(AV37:AX37)</f>
        <v>36.657586509675355</v>
      </c>
      <c r="BA36" s="45" t="s">
        <v>90</v>
      </c>
      <c r="BB36" s="45" t="s">
        <v>361</v>
      </c>
      <c r="BC36" s="223" t="s">
        <v>365</v>
      </c>
      <c r="BD36" s="229" t="s">
        <v>360</v>
      </c>
      <c r="BF36" s="118">
        <f>SUM(BA58:BD58)</f>
        <v>51.331866564524084</v>
      </c>
    </row>
    <row r="37" spans="1:58" ht="14.4" customHeight="1" x14ac:dyDescent="0.55000000000000004">
      <c r="A37" s="200" t="s">
        <v>282</v>
      </c>
      <c r="B37" s="203">
        <f>B15</f>
        <v>0.22177999999999998</v>
      </c>
      <c r="C37" s="201" t="s">
        <v>263</v>
      </c>
      <c r="V37" s="118">
        <f>B28</f>
        <v>33.202633386189007</v>
      </c>
      <c r="W37" s="118">
        <f>B15</f>
        <v>0.22177999999999998</v>
      </c>
      <c r="X37" s="118">
        <f>B19</f>
        <v>3.2331731234863463</v>
      </c>
      <c r="Y37" s="118">
        <f>B30+B31</f>
        <v>9.960790015856702</v>
      </c>
      <c r="Z37" s="118">
        <f>SUM(V37:Y37)</f>
        <v>46.618376525532057</v>
      </c>
      <c r="AA37" s="118">
        <f>(L2)/(1+0.04)^H2</f>
        <v>0.79011192561195698</v>
      </c>
      <c r="AB37" s="118">
        <f>(I2)/(1+0.04)^H2</f>
        <v>2.1188453633943509</v>
      </c>
      <c r="AC37" s="118">
        <f>(K2)/(1+0.04)^H2</f>
        <v>0.21374626548311884</v>
      </c>
      <c r="AD37" s="118"/>
      <c r="AH37" s="118">
        <f>V37</f>
        <v>33.202633386189007</v>
      </c>
      <c r="AI37" s="118">
        <f>W37</f>
        <v>0.22177999999999998</v>
      </c>
      <c r="AJ37" s="118">
        <f>X37</f>
        <v>3.2331731234863463</v>
      </c>
      <c r="AL37" s="118">
        <f>SUM(AH37:AJ37)</f>
        <v>36.657586509675355</v>
      </c>
      <c r="AM37" s="118">
        <f>(L2)/(1+0.04)^H2</f>
        <v>0.79011192561195698</v>
      </c>
      <c r="AN37" s="118">
        <f>(I2)/(1+0.04)^H2</f>
        <v>2.1188453633943509</v>
      </c>
      <c r="AO37" s="118">
        <f>(K2)/(1+0.04)^H2</f>
        <v>0.21374626548311884</v>
      </c>
      <c r="AP37" s="118"/>
      <c r="AV37" s="118">
        <f>AH37</f>
        <v>33.202633386189007</v>
      </c>
      <c r="AW37" s="118">
        <f>AI37</f>
        <v>0.22177999999999998</v>
      </c>
      <c r="AX37" s="118">
        <f>AJ37</f>
        <v>3.2331731234863463</v>
      </c>
      <c r="BA37" s="118">
        <f>AM37</f>
        <v>0.79011192561195698</v>
      </c>
      <c r="BB37" s="118">
        <f t="shared" ref="BB37:BC52" si="12">AN37</f>
        <v>2.1188453633943509</v>
      </c>
      <c r="BC37" s="118">
        <f t="shared" si="12"/>
        <v>0.21374626548311884</v>
      </c>
    </row>
    <row r="38" spans="1:58" ht="14.7" customHeight="1" x14ac:dyDescent="0.55000000000000004">
      <c r="A38" s="40" t="s">
        <v>283</v>
      </c>
      <c r="B38" s="175">
        <f>B12</f>
        <v>0.82171640263643531</v>
      </c>
      <c r="C38" s="123" t="s">
        <v>284</v>
      </c>
      <c r="AA38" s="118">
        <f t="shared" ref="AA38:AA57" si="13">(L3)/(1+0.04)^H3</f>
        <v>0.75972300539611248</v>
      </c>
      <c r="AB38" s="118">
        <f t="shared" ref="AB38:AB57" si="14">(I3)/(1+0.04)^H3</f>
        <v>2.0373513109561063</v>
      </c>
      <c r="AC38" s="118">
        <f t="shared" ref="AC38:AC57" si="15">(K3)/(1+0.04)^H3</f>
        <v>0.20552525527222965</v>
      </c>
      <c r="AD38" s="118"/>
      <c r="AM38" s="118">
        <f t="shared" ref="AM38:AM57" si="16">(L3)/(1+0.04)^H3</f>
        <v>0.75972300539611248</v>
      </c>
      <c r="AN38" s="118">
        <f t="shared" ref="AN38:AN57" si="17">(I3)/(1+0.04)^H3</f>
        <v>2.0373513109561063</v>
      </c>
      <c r="AO38" s="118">
        <f t="shared" ref="AO38:AO57" si="18">(K3)/(1+0.04)^H3</f>
        <v>0.20552525527222965</v>
      </c>
      <c r="AP38" s="118"/>
      <c r="BA38" s="118">
        <f t="shared" ref="BA38:BC57" si="19">AM38</f>
        <v>0.75972300539611248</v>
      </c>
      <c r="BB38" s="118">
        <f t="shared" si="12"/>
        <v>2.0373513109561063</v>
      </c>
      <c r="BC38" s="118">
        <f t="shared" si="12"/>
        <v>0.20552525527222965</v>
      </c>
    </row>
    <row r="39" spans="1:58" x14ac:dyDescent="0.55000000000000004">
      <c r="A39" s="40" t="s">
        <v>285</v>
      </c>
      <c r="B39" s="175">
        <f>'output H2 PROVA'!G16</f>
        <v>2.7831731234863462</v>
      </c>
      <c r="C39" s="123" t="s">
        <v>263</v>
      </c>
      <c r="AA39" s="118">
        <f t="shared" si="13"/>
        <v>0.73050288980395428</v>
      </c>
      <c r="AB39" s="118">
        <f t="shared" si="14"/>
        <v>1.9589916451501024</v>
      </c>
      <c r="AC39" s="118">
        <f t="shared" si="15"/>
        <v>0.19762043776175928</v>
      </c>
      <c r="AD39" s="118"/>
      <c r="AM39" s="118">
        <f t="shared" si="16"/>
        <v>0.73050288980395428</v>
      </c>
      <c r="AN39" s="118">
        <f t="shared" si="17"/>
        <v>1.9589916451501024</v>
      </c>
      <c r="AO39" s="118">
        <f t="shared" si="18"/>
        <v>0.19762043776175928</v>
      </c>
      <c r="AP39" s="118"/>
      <c r="BA39" s="118">
        <f t="shared" si="19"/>
        <v>0.73050288980395428</v>
      </c>
      <c r="BB39" s="118">
        <f t="shared" si="12"/>
        <v>1.9589916451501024</v>
      </c>
      <c r="BC39" s="118">
        <f t="shared" si="12"/>
        <v>0.19762043776175928</v>
      </c>
    </row>
    <row r="40" spans="1:58" x14ac:dyDescent="0.55000000000000004">
      <c r="A40" s="40" t="s">
        <v>286</v>
      </c>
      <c r="B40" s="60">
        <f>'output H2 PROVA'!K17</f>
        <v>0.45</v>
      </c>
      <c r="C40" s="123" t="s">
        <v>263</v>
      </c>
      <c r="AA40" s="118">
        <f t="shared" si="13"/>
        <v>0.70240662481149441</v>
      </c>
      <c r="AB40" s="118">
        <f t="shared" si="14"/>
        <v>1.883645812644329</v>
      </c>
      <c r="AC40" s="118">
        <f t="shared" si="15"/>
        <v>0.19001965169399929</v>
      </c>
      <c r="AD40" s="118"/>
      <c r="AM40" s="118">
        <f t="shared" si="16"/>
        <v>0.70240662481149441</v>
      </c>
      <c r="AN40" s="118">
        <f t="shared" si="17"/>
        <v>1.883645812644329</v>
      </c>
      <c r="AO40" s="118">
        <f t="shared" si="18"/>
        <v>0.19001965169399929</v>
      </c>
      <c r="AP40" s="118"/>
      <c r="BA40" s="118">
        <f t="shared" si="19"/>
        <v>0.70240662481149441</v>
      </c>
      <c r="BB40" s="118">
        <f t="shared" si="12"/>
        <v>1.883645812644329</v>
      </c>
      <c r="BC40" s="118">
        <f t="shared" si="12"/>
        <v>0.19001965169399929</v>
      </c>
    </row>
    <row r="41" spans="1:58" x14ac:dyDescent="0.55000000000000004">
      <c r="A41" s="40" t="s">
        <v>287</v>
      </c>
      <c r="B41" s="60">
        <f>B20</f>
        <v>1.8000000000000002E-2</v>
      </c>
      <c r="C41" s="123" t="s">
        <v>284</v>
      </c>
      <c r="AA41" s="118">
        <f t="shared" si="13"/>
        <v>0.67539098539566766</v>
      </c>
      <c r="AB41" s="118">
        <f t="shared" si="14"/>
        <v>1.811197896773393</v>
      </c>
      <c r="AC41" s="118">
        <f t="shared" si="15"/>
        <v>0.18271120355192236</v>
      </c>
      <c r="AD41" s="118"/>
      <c r="AM41" s="118">
        <f t="shared" si="16"/>
        <v>0.67539098539566766</v>
      </c>
      <c r="AN41" s="118">
        <f t="shared" si="17"/>
        <v>1.811197896773393</v>
      </c>
      <c r="AO41" s="118">
        <f t="shared" si="18"/>
        <v>0.18271120355192236</v>
      </c>
      <c r="AP41" s="118"/>
      <c r="BA41" s="118">
        <f t="shared" si="19"/>
        <v>0.67539098539566766</v>
      </c>
      <c r="BB41" s="118">
        <f t="shared" si="12"/>
        <v>1.811197896773393</v>
      </c>
      <c r="BC41" s="118">
        <f t="shared" si="12"/>
        <v>0.18271120355192236</v>
      </c>
    </row>
    <row r="42" spans="1:58" x14ac:dyDescent="0.55000000000000004">
      <c r="A42" s="40" t="s">
        <v>266</v>
      </c>
      <c r="B42" s="146">
        <f>B25</f>
        <v>0.19865671272529209</v>
      </c>
      <c r="C42" s="123" t="s">
        <v>284</v>
      </c>
      <c r="AA42" s="118">
        <f t="shared" si="13"/>
        <v>0.64941440903429581</v>
      </c>
      <c r="AB42" s="118">
        <f t="shared" si="14"/>
        <v>1.7415364392051857</v>
      </c>
      <c r="AC42" s="118">
        <f t="shared" si="15"/>
        <v>0.17568384956915611</v>
      </c>
      <c r="AD42" s="118"/>
      <c r="AM42" s="118">
        <f t="shared" si="16"/>
        <v>0.64941440903429581</v>
      </c>
      <c r="AN42" s="118">
        <f t="shared" si="17"/>
        <v>1.7415364392051857</v>
      </c>
      <c r="AO42" s="118">
        <f t="shared" si="18"/>
        <v>0.17568384956915611</v>
      </c>
      <c r="AP42" s="118"/>
      <c r="BA42" s="118">
        <f t="shared" si="19"/>
        <v>0.64941440903429581</v>
      </c>
      <c r="BB42" s="118">
        <f t="shared" si="12"/>
        <v>1.7415364392051857</v>
      </c>
      <c r="BC42" s="118">
        <f t="shared" si="12"/>
        <v>0.17568384956915611</v>
      </c>
    </row>
    <row r="43" spans="1:58" x14ac:dyDescent="0.55000000000000004">
      <c r="A43" s="40" t="s">
        <v>288</v>
      </c>
      <c r="B43" s="175">
        <f>B28</f>
        <v>33.202633386189007</v>
      </c>
      <c r="C43" s="123" t="s">
        <v>263</v>
      </c>
      <c r="E43" t="s">
        <v>256</v>
      </c>
      <c r="AA43" s="118">
        <f t="shared" si="13"/>
        <v>0.62443693176374604</v>
      </c>
      <c r="AB43" s="118">
        <f t="shared" si="14"/>
        <v>1.6745542684665249</v>
      </c>
      <c r="AC43" s="118">
        <f t="shared" si="15"/>
        <v>0.16892677843188089</v>
      </c>
      <c r="AD43" s="118"/>
      <c r="AM43" s="118">
        <f t="shared" si="16"/>
        <v>0.62443693176374604</v>
      </c>
      <c r="AN43" s="118">
        <f t="shared" si="17"/>
        <v>1.6745542684665249</v>
      </c>
      <c r="AO43" s="118">
        <f t="shared" si="18"/>
        <v>0.16892677843188089</v>
      </c>
      <c r="AP43" s="118"/>
      <c r="BA43" s="118">
        <f t="shared" si="19"/>
        <v>0.62443693176374604</v>
      </c>
      <c r="BB43" s="118">
        <f t="shared" si="12"/>
        <v>1.6745542684665249</v>
      </c>
      <c r="BC43" s="118">
        <f t="shared" si="12"/>
        <v>0.16892677843188089</v>
      </c>
    </row>
    <row r="44" spans="1:58" x14ac:dyDescent="0.55000000000000004">
      <c r="A44" s="40" t="s">
        <v>289</v>
      </c>
      <c r="B44" s="146">
        <f>B29</f>
        <v>5.63940337715149E-3</v>
      </c>
      <c r="C44" s="123" t="s">
        <v>284</v>
      </c>
      <c r="AA44" s="118">
        <f t="shared" si="13"/>
        <v>0.60042012669590961</v>
      </c>
      <c r="AB44" s="118">
        <f t="shared" si="14"/>
        <v>1.6101483350639658</v>
      </c>
      <c r="AC44" s="118">
        <f t="shared" si="15"/>
        <v>0.16242959464603929</v>
      </c>
      <c r="AD44" s="118"/>
      <c r="AM44" s="118">
        <f t="shared" si="16"/>
        <v>0.60042012669590961</v>
      </c>
      <c r="AN44" s="118">
        <f t="shared" si="17"/>
        <v>1.6101483350639658</v>
      </c>
      <c r="AO44" s="118">
        <f t="shared" si="18"/>
        <v>0.16242959464603929</v>
      </c>
      <c r="AP44" s="118"/>
      <c r="BA44" s="118">
        <f t="shared" si="19"/>
        <v>0.60042012669590961</v>
      </c>
      <c r="BB44" s="118">
        <f t="shared" si="12"/>
        <v>1.6101483350639658</v>
      </c>
      <c r="BC44" s="118">
        <f t="shared" si="12"/>
        <v>0.16242959464603929</v>
      </c>
    </row>
    <row r="45" spans="1:58" x14ac:dyDescent="0.55000000000000004">
      <c r="A45" s="40" t="s">
        <v>290</v>
      </c>
      <c r="B45" s="175">
        <f>B30</f>
        <v>3.3202633386189007</v>
      </c>
      <c r="C45" s="123" t="s">
        <v>263</v>
      </c>
      <c r="AA45" s="118">
        <f t="shared" si="13"/>
        <v>0.57732704489991293</v>
      </c>
      <c r="AB45" s="118">
        <f t="shared" si="14"/>
        <v>1.5482195529461209</v>
      </c>
      <c r="AC45" s="118">
        <f t="shared" si="15"/>
        <v>0.15618230254426854</v>
      </c>
      <c r="AD45" s="118"/>
      <c r="AM45" s="118">
        <f t="shared" si="16"/>
        <v>0.57732704489991293</v>
      </c>
      <c r="AN45" s="118">
        <f t="shared" si="17"/>
        <v>1.5482195529461209</v>
      </c>
      <c r="AO45" s="118">
        <f t="shared" si="18"/>
        <v>0.15618230254426854</v>
      </c>
      <c r="AP45" s="118"/>
      <c r="BA45" s="118">
        <f t="shared" si="19"/>
        <v>0.57732704489991293</v>
      </c>
      <c r="BB45" s="118">
        <f t="shared" si="12"/>
        <v>1.5482195529461209</v>
      </c>
      <c r="BC45" s="118">
        <f t="shared" si="12"/>
        <v>0.15618230254426854</v>
      </c>
    </row>
    <row r="46" spans="1:58" x14ac:dyDescent="0.55000000000000004">
      <c r="A46" s="40" t="s">
        <v>291</v>
      </c>
      <c r="B46" s="175">
        <f>B31</f>
        <v>6.6405266772378013</v>
      </c>
      <c r="C46" s="123" t="s">
        <v>263</v>
      </c>
      <c r="AA46" s="118">
        <f t="shared" si="13"/>
        <v>0.5551221585576086</v>
      </c>
      <c r="AB46" s="118">
        <f t="shared" si="14"/>
        <v>1.4886726470635778</v>
      </c>
      <c r="AC46" s="118">
        <f t="shared" si="15"/>
        <v>0.15017529090795051</v>
      </c>
      <c r="AD46" s="118"/>
      <c r="AM46" s="118">
        <f t="shared" si="16"/>
        <v>0.5551221585576086</v>
      </c>
      <c r="AN46" s="118">
        <f t="shared" si="17"/>
        <v>1.4886726470635778</v>
      </c>
      <c r="AO46" s="118">
        <f t="shared" si="18"/>
        <v>0.15017529090795051</v>
      </c>
      <c r="AP46" s="118"/>
      <c r="BA46" s="118">
        <f t="shared" si="19"/>
        <v>0.5551221585576086</v>
      </c>
      <c r="BB46" s="118">
        <f t="shared" si="12"/>
        <v>1.4886726470635778</v>
      </c>
      <c r="BC46" s="118">
        <f t="shared" si="12"/>
        <v>0.15017529090795051</v>
      </c>
    </row>
    <row r="47" spans="1:58" ht="14.7" thickBot="1" x14ac:dyDescent="0.6">
      <c r="A47" s="86" t="s">
        <v>292</v>
      </c>
      <c r="B47" s="181">
        <f>B2</f>
        <v>2.2035991779301249</v>
      </c>
      <c r="C47" s="173" t="s">
        <v>284</v>
      </c>
      <c r="AA47" s="118">
        <f t="shared" si="13"/>
        <v>0.53377130630539293</v>
      </c>
      <c r="AB47" s="118">
        <f t="shared" si="14"/>
        <v>1.431416006791902</v>
      </c>
      <c r="AC47" s="118">
        <f t="shared" si="15"/>
        <v>0.14439931818072166</v>
      </c>
      <c r="AD47" s="118"/>
      <c r="AM47" s="118">
        <f t="shared" si="16"/>
        <v>0.53377130630539293</v>
      </c>
      <c r="AN47" s="118">
        <f t="shared" si="17"/>
        <v>1.431416006791902</v>
      </c>
      <c r="AO47" s="118">
        <f t="shared" si="18"/>
        <v>0.14439931818072166</v>
      </c>
      <c r="AP47" s="118">
        <f>(N12)/((1+0.04)^H12)</f>
        <v>4.3135595050708631</v>
      </c>
      <c r="BA47" s="118">
        <f t="shared" si="19"/>
        <v>0.53377130630539293</v>
      </c>
      <c r="BB47" s="118">
        <f t="shared" si="12"/>
        <v>1.431416006791902</v>
      </c>
      <c r="BC47" s="118">
        <f t="shared" si="12"/>
        <v>0.14439931818072166</v>
      </c>
      <c r="BD47">
        <f>(N12)/((1+0.04)^H12)</f>
        <v>4.3135595050708631</v>
      </c>
    </row>
    <row r="48" spans="1:58" x14ac:dyDescent="0.55000000000000004">
      <c r="A48" s="45"/>
      <c r="B48" s="45"/>
      <c r="C48" s="45"/>
      <c r="AA48" s="118">
        <f t="shared" si="13"/>
        <v>0.51324164067826239</v>
      </c>
      <c r="AB48" s="118">
        <f t="shared" si="14"/>
        <v>1.3763615449922131</v>
      </c>
      <c r="AC48" s="118">
        <f t="shared" si="15"/>
        <v>0.13884549825069389</v>
      </c>
      <c r="AD48" s="118"/>
      <c r="AM48" s="118">
        <f t="shared" si="16"/>
        <v>0.51324164067826239</v>
      </c>
      <c r="AN48" s="118">
        <f t="shared" si="17"/>
        <v>1.3763615449922131</v>
      </c>
      <c r="AO48" s="118">
        <f t="shared" si="18"/>
        <v>0.13884549825069389</v>
      </c>
      <c r="AP48" s="118"/>
      <c r="BA48" s="118">
        <f t="shared" si="19"/>
        <v>0.51324164067826239</v>
      </c>
      <c r="BB48" s="118">
        <f t="shared" si="12"/>
        <v>1.3763615449922131</v>
      </c>
      <c r="BC48" s="118">
        <f t="shared" si="12"/>
        <v>0.13884549825069389</v>
      </c>
    </row>
    <row r="49" spans="1:58" x14ac:dyDescent="0.55000000000000004">
      <c r="A49" s="45"/>
      <c r="B49" s="45"/>
      <c r="C49" s="45"/>
      <c r="AA49" s="118">
        <f t="shared" si="13"/>
        <v>0.49350157757525226</v>
      </c>
      <c r="AB49" s="118">
        <f t="shared" si="14"/>
        <v>1.3234245624925125</v>
      </c>
      <c r="AC49" s="118">
        <f t="shared" si="15"/>
        <v>0.13350528677951334</v>
      </c>
      <c r="AD49" s="118"/>
      <c r="AM49" s="118">
        <f t="shared" si="16"/>
        <v>0.49350157757525226</v>
      </c>
      <c r="AN49" s="118">
        <f t="shared" si="17"/>
        <v>1.3234245624925125</v>
      </c>
      <c r="AO49" s="118">
        <f t="shared" si="18"/>
        <v>0.13350528677951334</v>
      </c>
      <c r="AP49" s="118"/>
      <c r="BA49" s="118">
        <f t="shared" si="19"/>
        <v>0.49350157757525226</v>
      </c>
      <c r="BB49" s="118">
        <f t="shared" si="12"/>
        <v>1.3234245624925125</v>
      </c>
      <c r="BC49" s="118">
        <f t="shared" si="12"/>
        <v>0.13350528677951334</v>
      </c>
    </row>
    <row r="50" spans="1:58" x14ac:dyDescent="0.55000000000000004">
      <c r="AA50" s="118">
        <f t="shared" si="13"/>
        <v>0.47452074766851177</v>
      </c>
      <c r="AB50" s="118">
        <f t="shared" si="14"/>
        <v>1.272523617781262</v>
      </c>
      <c r="AC50" s="118">
        <f t="shared" si="15"/>
        <v>0.12837046805722438</v>
      </c>
      <c r="AD50" s="118"/>
      <c r="AM50" s="118">
        <f t="shared" si="16"/>
        <v>0.47452074766851177</v>
      </c>
      <c r="AN50" s="118">
        <f t="shared" si="17"/>
        <v>1.272523617781262</v>
      </c>
      <c r="AO50" s="118">
        <f t="shared" si="18"/>
        <v>0.12837046805722438</v>
      </c>
      <c r="AP50" s="118"/>
      <c r="BA50" s="118">
        <f t="shared" si="19"/>
        <v>0.47452074766851177</v>
      </c>
      <c r="BB50" s="118">
        <f t="shared" si="12"/>
        <v>1.272523617781262</v>
      </c>
      <c r="BC50" s="118">
        <f t="shared" si="12"/>
        <v>0.12837046805722438</v>
      </c>
    </row>
    <row r="51" spans="1:58" x14ac:dyDescent="0.55000000000000004">
      <c r="AA51" s="118">
        <f t="shared" si="13"/>
        <v>0.45626994968126133</v>
      </c>
      <c r="AB51" s="118">
        <f t="shared" si="14"/>
        <v>1.2235804017127521</v>
      </c>
      <c r="AC51" s="118">
        <f t="shared" si="15"/>
        <v>0.12343314236271574</v>
      </c>
      <c r="AD51" s="118"/>
      <c r="AM51" s="118">
        <f t="shared" si="16"/>
        <v>0.45626994968126133</v>
      </c>
      <c r="AN51" s="118">
        <f t="shared" si="17"/>
        <v>1.2235804017127521</v>
      </c>
      <c r="AO51" s="118">
        <f t="shared" si="18"/>
        <v>0.12343314236271574</v>
      </c>
      <c r="AP51" s="118"/>
      <c r="BA51" s="118">
        <f t="shared" si="19"/>
        <v>0.45626994968126133</v>
      </c>
      <c r="BB51" s="118">
        <f t="shared" si="12"/>
        <v>1.2235804017127521</v>
      </c>
      <c r="BC51" s="118">
        <f t="shared" si="12"/>
        <v>0.12343314236271574</v>
      </c>
    </row>
    <row r="52" spans="1:58" x14ac:dyDescent="0.55000000000000004">
      <c r="AA52" s="118">
        <f t="shared" si="13"/>
        <v>0.43872110546275123</v>
      </c>
      <c r="AB52" s="118">
        <f t="shared" si="14"/>
        <v>1.176519617031492</v>
      </c>
      <c r="AC52" s="118">
        <f t="shared" si="15"/>
        <v>0.11868571381030359</v>
      </c>
      <c r="AD52" s="118"/>
      <c r="AM52" s="118">
        <f t="shared" si="16"/>
        <v>0.43872110546275123</v>
      </c>
      <c r="AN52" s="118">
        <f t="shared" si="17"/>
        <v>1.176519617031492</v>
      </c>
      <c r="AO52" s="118">
        <f t="shared" si="18"/>
        <v>0.11868571381030359</v>
      </c>
      <c r="AP52" s="118"/>
      <c r="BA52" s="118">
        <f t="shared" si="19"/>
        <v>0.43872110546275123</v>
      </c>
      <c r="BB52" s="118">
        <f t="shared" si="12"/>
        <v>1.176519617031492</v>
      </c>
      <c r="BC52" s="118">
        <f t="shared" si="12"/>
        <v>0.11868571381030359</v>
      </c>
    </row>
    <row r="53" spans="1:58" x14ac:dyDescent="0.55000000000000004">
      <c r="AA53" s="118">
        <f t="shared" si="13"/>
        <v>0.42184721679110693</v>
      </c>
      <c r="AB53" s="118">
        <f t="shared" si="14"/>
        <v>1.1312688625302809</v>
      </c>
      <c r="AC53" s="118">
        <f t="shared" si="15"/>
        <v>0.11412087866375344</v>
      </c>
      <c r="AD53" s="118"/>
      <c r="AM53" s="118">
        <f t="shared" si="16"/>
        <v>0.42184721679110693</v>
      </c>
      <c r="AN53" s="118">
        <f t="shared" si="17"/>
        <v>1.1312688625302809</v>
      </c>
      <c r="AO53" s="118">
        <f t="shared" si="18"/>
        <v>0.11412087866375344</v>
      </c>
      <c r="AP53" s="118"/>
      <c r="BA53" s="118">
        <f t="shared" si="19"/>
        <v>0.42184721679110693</v>
      </c>
      <c r="BB53" s="118">
        <f t="shared" si="19"/>
        <v>1.1312688625302809</v>
      </c>
      <c r="BC53" s="118">
        <f t="shared" si="19"/>
        <v>0.11412087866375344</v>
      </c>
    </row>
    <row r="54" spans="1:58" x14ac:dyDescent="0.55000000000000004">
      <c r="AA54" s="118">
        <f t="shared" si="13"/>
        <v>0.40562232383760277</v>
      </c>
      <c r="AB54" s="118">
        <f t="shared" si="14"/>
        <v>1.0877585216637313</v>
      </c>
      <c r="AC54" s="118">
        <f t="shared" si="15"/>
        <v>0.10973161409976291</v>
      </c>
      <c r="AD54" s="118"/>
      <c r="AM54" s="118">
        <f t="shared" si="16"/>
        <v>0.40562232383760277</v>
      </c>
      <c r="AN54" s="118">
        <f t="shared" si="17"/>
        <v>1.0877585216637313</v>
      </c>
      <c r="AO54" s="118">
        <f t="shared" si="18"/>
        <v>0.10973161409976291</v>
      </c>
      <c r="AP54" s="118"/>
      <c r="BA54" s="118">
        <f t="shared" si="19"/>
        <v>0.40562232383760277</v>
      </c>
      <c r="BB54" s="118">
        <f t="shared" si="19"/>
        <v>1.0877585216637313</v>
      </c>
      <c r="BC54" s="118">
        <f t="shared" si="19"/>
        <v>0.10973161409976291</v>
      </c>
    </row>
    <row r="55" spans="1:58" x14ac:dyDescent="0.55000000000000004">
      <c r="AA55" s="118">
        <f t="shared" si="13"/>
        <v>0.3900214652284642</v>
      </c>
      <c r="AB55" s="118">
        <f t="shared" si="14"/>
        <v>1.0459216554458957</v>
      </c>
      <c r="AC55" s="118">
        <f t="shared" si="15"/>
        <v>0.10551116740361818</v>
      </c>
      <c r="AD55" s="118"/>
      <c r="AM55" s="118">
        <f t="shared" si="16"/>
        <v>0.3900214652284642</v>
      </c>
      <c r="AN55" s="118">
        <f t="shared" si="17"/>
        <v>1.0459216554458957</v>
      </c>
      <c r="AO55" s="118">
        <f t="shared" si="18"/>
        <v>0.10551116740361818</v>
      </c>
      <c r="AP55" s="118"/>
      <c r="BA55" s="118">
        <f t="shared" si="19"/>
        <v>0.3900214652284642</v>
      </c>
      <c r="BB55" s="118">
        <f t="shared" si="19"/>
        <v>1.0459216554458957</v>
      </c>
      <c r="BC55" s="118">
        <f t="shared" si="19"/>
        <v>0.10551116740361818</v>
      </c>
    </row>
    <row r="56" spans="1:58" x14ac:dyDescent="0.55000000000000004">
      <c r="AA56" s="118">
        <f t="shared" si="13"/>
        <v>0.37502063964275406</v>
      </c>
      <c r="AB56" s="118">
        <f t="shared" si="14"/>
        <v>1.0056938994672073</v>
      </c>
      <c r="AC56" s="118">
        <f t="shared" si="15"/>
        <v>0.10145304558040209</v>
      </c>
      <c r="AD56" s="118"/>
      <c r="AM56" s="118">
        <f t="shared" si="16"/>
        <v>0.37502063964275406</v>
      </c>
      <c r="AN56" s="118">
        <f t="shared" si="17"/>
        <v>1.0056938994672073</v>
      </c>
      <c r="AO56" s="118">
        <f t="shared" si="18"/>
        <v>0.10145304558040209</v>
      </c>
      <c r="BA56" s="118">
        <f t="shared" si="19"/>
        <v>0.37502063964275406</v>
      </c>
      <c r="BB56" s="118">
        <f t="shared" si="19"/>
        <v>1.0056938994672073</v>
      </c>
      <c r="BC56" s="118">
        <f t="shared" si="19"/>
        <v>0.10145304558040209</v>
      </c>
    </row>
    <row r="57" spans="1:58" ht="14.7" thickBot="1" x14ac:dyDescent="0.6">
      <c r="AA57" s="118">
        <f t="shared" si="13"/>
        <v>0.36059676888726344</v>
      </c>
      <c r="AB57" s="118">
        <f t="shared" si="14"/>
        <v>0.96701336487231448</v>
      </c>
      <c r="AC57" s="118">
        <f t="shared" si="15"/>
        <v>9.7551005365771229E-2</v>
      </c>
      <c r="AD57" s="118"/>
      <c r="AM57" s="118">
        <f t="shared" si="16"/>
        <v>0.36059676888726344</v>
      </c>
      <c r="AN57" s="118">
        <f t="shared" si="17"/>
        <v>0.96701336487231448</v>
      </c>
      <c r="AO57" s="118">
        <f t="shared" si="18"/>
        <v>9.7551005365771229E-2</v>
      </c>
      <c r="AP57" s="118">
        <f>(M22)/((1+0.04)^H22)</f>
        <v>1.4570431208619099</v>
      </c>
      <c r="BA57" s="118">
        <f t="shared" si="19"/>
        <v>0.36059676888726344</v>
      </c>
      <c r="BB57" s="118">
        <f t="shared" si="19"/>
        <v>0.96701336487231448</v>
      </c>
      <c r="BC57" s="118">
        <f t="shared" si="19"/>
        <v>9.7551005365771229E-2</v>
      </c>
      <c r="BD57">
        <f>(M22)/((1+0.04)^H22)</f>
        <v>1.4570431208619099</v>
      </c>
    </row>
    <row r="58" spans="1:58" x14ac:dyDescent="0.55000000000000004">
      <c r="Z58" t="s">
        <v>366</v>
      </c>
      <c r="AA58" s="118">
        <f>SUM(AA37:AA57)</f>
        <v>11.527990843729283</v>
      </c>
      <c r="AB58" s="118">
        <f>SUM(AB37:AB57)</f>
        <v>30.914645326445218</v>
      </c>
      <c r="AC58" s="118">
        <f>SUM(AC37:AC57)</f>
        <v>3.1186277684168049</v>
      </c>
      <c r="AD58" s="118"/>
      <c r="AL58" s="57" t="s">
        <v>367</v>
      </c>
      <c r="AM58" s="118">
        <f>SUM(AM37:AM57)</f>
        <v>11.527990843729283</v>
      </c>
      <c r="AN58" s="118">
        <f t="shared" ref="AN58:AP58" si="20">SUM(AN37:AN57)</f>
        <v>30.914645326445218</v>
      </c>
      <c r="AO58" s="118">
        <f t="shared" si="20"/>
        <v>3.1186277684168049</v>
      </c>
      <c r="AP58" s="118">
        <f t="shared" si="20"/>
        <v>5.7706026259327725</v>
      </c>
      <c r="AZ58" s="57" t="s">
        <v>367</v>
      </c>
      <c r="BA58" s="118">
        <f>AM58</f>
        <v>11.527990843729283</v>
      </c>
      <c r="BB58" s="118">
        <f t="shared" ref="BB58:BD58" si="21">AN58</f>
        <v>30.914645326445218</v>
      </c>
      <c r="BC58" s="118">
        <f t="shared" si="21"/>
        <v>3.1186277684168049</v>
      </c>
      <c r="BD58" s="118">
        <f t="shared" si="21"/>
        <v>5.7706026259327725</v>
      </c>
    </row>
    <row r="59" spans="1:58" ht="14.7" thickBot="1" x14ac:dyDescent="0.6">
      <c r="Z59">
        <f>Q22</f>
        <v>7111007.3305076165</v>
      </c>
      <c r="AL59" s="118">
        <f>AE2</f>
        <v>4750545.6773609668</v>
      </c>
      <c r="AZ59" s="118">
        <f>Z59</f>
        <v>7111007.3305076165</v>
      </c>
    </row>
    <row r="60" spans="1:58" ht="14.7" thickBot="1" x14ac:dyDescent="0.6">
      <c r="W60" s="337" t="s">
        <v>355</v>
      </c>
      <c r="X60" s="338"/>
      <c r="Y60" s="338"/>
      <c r="Z60" s="339"/>
      <c r="AA60" s="332" t="s">
        <v>356</v>
      </c>
      <c r="AB60" s="333"/>
      <c r="AC60" s="333"/>
      <c r="AD60" s="334" t="s">
        <v>346</v>
      </c>
      <c r="AH60" s="234"/>
      <c r="AI60" s="337" t="s">
        <v>353</v>
      </c>
      <c r="AJ60" s="338"/>
      <c r="AK60" s="339"/>
      <c r="AL60" s="332" t="s">
        <v>354</v>
      </c>
      <c r="AM60" s="333"/>
      <c r="AN60" s="333"/>
      <c r="AO60" s="333"/>
      <c r="AP60" s="232"/>
      <c r="AR60" s="334" t="s">
        <v>369</v>
      </c>
      <c r="AV60" s="337" t="s">
        <v>362</v>
      </c>
      <c r="AW60" s="338"/>
      <c r="AX60" s="338"/>
      <c r="AY60" s="339"/>
      <c r="BA60" s="332" t="s">
        <v>354</v>
      </c>
      <c r="BB60" s="333"/>
      <c r="BC60" s="333"/>
      <c r="BD60" s="333"/>
      <c r="BE60" s="232"/>
      <c r="BF60" s="334" t="s">
        <v>370</v>
      </c>
    </row>
    <row r="61" spans="1:58" ht="16.8" x14ac:dyDescent="0.55000000000000004">
      <c r="W61" s="229" t="s">
        <v>359</v>
      </c>
      <c r="X61" s="229" t="s">
        <v>357</v>
      </c>
      <c r="Y61" s="229" t="s">
        <v>358</v>
      </c>
      <c r="Z61" s="229" t="s">
        <v>360</v>
      </c>
      <c r="AA61" s="45" t="s">
        <v>90</v>
      </c>
      <c r="AB61" s="45" t="s">
        <v>361</v>
      </c>
      <c r="AC61" s="45" t="s">
        <v>365</v>
      </c>
      <c r="AD61" s="334"/>
      <c r="AI61" s="229" t="s">
        <v>359</v>
      </c>
      <c r="AJ61" s="229" t="s">
        <v>357</v>
      </c>
      <c r="AK61" s="229" t="s">
        <v>358</v>
      </c>
      <c r="AL61" s="45" t="s">
        <v>90</v>
      </c>
      <c r="AM61" s="45" t="s">
        <v>361</v>
      </c>
      <c r="AN61" s="223" t="s">
        <v>365</v>
      </c>
      <c r="AO61" s="229" t="s">
        <v>360</v>
      </c>
      <c r="AR61" s="334"/>
      <c r="AV61" s="229" t="s">
        <v>359</v>
      </c>
      <c r="AW61" s="229" t="s">
        <v>357</v>
      </c>
      <c r="AX61" s="229" t="s">
        <v>358</v>
      </c>
      <c r="AY61" s="229"/>
      <c r="BA61" s="45" t="s">
        <v>90</v>
      </c>
      <c r="BB61" s="45" t="s">
        <v>361</v>
      </c>
      <c r="BC61" s="223" t="s">
        <v>365</v>
      </c>
      <c r="BD61" s="229" t="s">
        <v>360</v>
      </c>
      <c r="BF61" s="334"/>
    </row>
    <row r="62" spans="1:58" x14ac:dyDescent="0.55000000000000004">
      <c r="W62" s="112">
        <f>V37*10^6/Z59</f>
        <v>4.6691884627573357</v>
      </c>
      <c r="X62" s="112">
        <f>W37*10^6/Z59</f>
        <v>3.118826766617442E-2</v>
      </c>
      <c r="Y62" s="112">
        <f>X37*10^6/Z59</f>
        <v>0.45467160603468931</v>
      </c>
      <c r="Z62" s="112">
        <f>Y37*10^6/Z59</f>
        <v>1.4007565388272007</v>
      </c>
      <c r="AA62" s="112">
        <f>AA58*10^6/Z59</f>
        <v>1.6211473716630753</v>
      </c>
      <c r="AB62" s="112">
        <f>AB58*10^6/Z59</f>
        <v>4.3474354461449263</v>
      </c>
      <c r="AC62" s="112">
        <f>AC58*10^6/Z59</f>
        <v>0.43856343039294582</v>
      </c>
      <c r="AD62" s="230">
        <f>SUM(W62:Z62)+SUM(AA62:AC62)</f>
        <v>12.962951123486349</v>
      </c>
      <c r="AI62" s="112">
        <f>AH37*10^6/AL59</f>
        <v>6.9892251629993387</v>
      </c>
      <c r="AJ62" s="112">
        <f>AI37*10^6/AL59</f>
        <v>4.6685163150184394E-2</v>
      </c>
      <c r="AK62" s="112">
        <f>AJ37*10^6/AL59</f>
        <v>0.68058984021440794</v>
      </c>
      <c r="AL62" s="228">
        <f>AM58*10^6/$AL$59</f>
        <v>2.4266666666666676</v>
      </c>
      <c r="AM62" s="228">
        <f>AN58*10^6/$AL$59</f>
        <v>6.5075987951807228</v>
      </c>
      <c r="AN62" s="228">
        <f>AO58*10^6/$AL$59</f>
        <v>0.65647779859876465</v>
      </c>
      <c r="AO62" s="228">
        <f>AP58*10^6/$AL$59</f>
        <v>1.2147241638856254</v>
      </c>
      <c r="AR62" s="233">
        <f>SUM(AI62:AK62)+SUM(AL62:AO62)</f>
        <v>18.521967590695709</v>
      </c>
      <c r="AV62" s="204">
        <f>AV37*10^6/$AZ$59</f>
        <v>4.6691884627573357</v>
      </c>
      <c r="AW62" s="204">
        <f t="shared" ref="AW62:AX62" si="22">AW37*10^6/$AZ$59</f>
        <v>3.118826766617442E-2</v>
      </c>
      <c r="AX62" s="204">
        <f t="shared" si="22"/>
        <v>0.45467160603468931</v>
      </c>
      <c r="AY62" s="204"/>
      <c r="AZ62" s="204"/>
      <c r="BA62" s="204">
        <f>BA58*10^6/$AZ$59</f>
        <v>1.6211473716630753</v>
      </c>
      <c r="BB62" s="204">
        <f t="shared" ref="BB62:BD62" si="23">BB58*10^6/$AZ$59</f>
        <v>4.3474354461449263</v>
      </c>
      <c r="BC62" s="204">
        <f t="shared" si="23"/>
        <v>0.43856343039294582</v>
      </c>
      <c r="BD62" s="204">
        <f t="shared" si="23"/>
        <v>0.81150283746379437</v>
      </c>
      <c r="BE62" s="204"/>
      <c r="BF62" s="204">
        <f>SUM(AV62:AX62)+SUM(BA62:BD62)</f>
        <v>12.373697422122941</v>
      </c>
    </row>
    <row r="70" spans="33:42" ht="14.7" thickBot="1" x14ac:dyDescent="0.6"/>
    <row r="71" spans="33:42" ht="14.7" thickBot="1" x14ac:dyDescent="0.6">
      <c r="AH71" s="335" t="s">
        <v>371</v>
      </c>
      <c r="AI71" s="336"/>
      <c r="AJ71" s="336"/>
      <c r="AK71" s="336"/>
      <c r="AL71" s="336"/>
      <c r="AM71" s="336"/>
      <c r="AN71" s="336"/>
      <c r="AO71" s="238"/>
      <c r="AP71" s="239"/>
    </row>
    <row r="72" spans="33:42" ht="16.8" x14ac:dyDescent="0.55000000000000004">
      <c r="AH72" s="235" t="s">
        <v>359</v>
      </c>
      <c r="AI72" s="235" t="s">
        <v>357</v>
      </c>
      <c r="AJ72" s="235" t="s">
        <v>358</v>
      </c>
      <c r="AK72" s="237" t="s">
        <v>372</v>
      </c>
      <c r="AL72" s="236" t="s">
        <v>90</v>
      </c>
      <c r="AM72" s="236" t="s">
        <v>361</v>
      </c>
      <c r="AN72" s="236" t="s">
        <v>365</v>
      </c>
    </row>
    <row r="73" spans="33:42" x14ac:dyDescent="0.55000000000000004">
      <c r="AG73" t="s">
        <v>346</v>
      </c>
      <c r="AH73" s="118">
        <f>W62</f>
        <v>4.6691884627573357</v>
      </c>
      <c r="AI73" s="118">
        <f t="shared" ref="AI73:AN73" si="24">X62</f>
        <v>3.118826766617442E-2</v>
      </c>
      <c r="AJ73" s="118">
        <f t="shared" si="24"/>
        <v>0.45467160603468931</v>
      </c>
      <c r="AK73" s="118">
        <f t="shared" si="24"/>
        <v>1.4007565388272007</v>
      </c>
      <c r="AL73" s="118">
        <f t="shared" si="24"/>
        <v>1.6211473716630753</v>
      </c>
      <c r="AM73" s="118">
        <f t="shared" si="24"/>
        <v>4.3474354461449263</v>
      </c>
      <c r="AN73" s="118">
        <f t="shared" si="24"/>
        <v>0.43856343039294582</v>
      </c>
      <c r="AO73" s="204">
        <f>SUM(AH73:AN73)-$AD$62</f>
        <v>0</v>
      </c>
    </row>
    <row r="74" spans="33:42" x14ac:dyDescent="0.55000000000000004">
      <c r="AG74" t="s">
        <v>369</v>
      </c>
      <c r="AH74" s="118">
        <f>AI62</f>
        <v>6.9892251629993387</v>
      </c>
      <c r="AI74" s="118">
        <f t="shared" ref="AI74:AJ74" si="25">AJ62</f>
        <v>4.6685163150184394E-2</v>
      </c>
      <c r="AJ74" s="118">
        <f t="shared" si="25"/>
        <v>0.68058984021440794</v>
      </c>
      <c r="AK74" s="204">
        <f>AO62</f>
        <v>1.2147241638856254</v>
      </c>
      <c r="AL74" s="204">
        <f>AL62</f>
        <v>2.4266666666666676</v>
      </c>
      <c r="AM74" s="204">
        <f t="shared" ref="AM74:AN74" si="26">AM62</f>
        <v>6.5075987951807228</v>
      </c>
      <c r="AN74" s="204">
        <f t="shared" si="26"/>
        <v>0.65647779859876465</v>
      </c>
      <c r="AO74" s="204">
        <f>SUM(AH74:AN74)-$AR$62</f>
        <v>0</v>
      </c>
    </row>
    <row r="75" spans="33:42" x14ac:dyDescent="0.55000000000000004">
      <c r="AG75" t="s">
        <v>370</v>
      </c>
      <c r="AH75" s="204">
        <f>AV62</f>
        <v>4.6691884627573357</v>
      </c>
      <c r="AI75" s="204">
        <f t="shared" ref="AI75:AJ75" si="27">AW62</f>
        <v>3.118826766617442E-2</v>
      </c>
      <c r="AJ75" s="204">
        <f t="shared" si="27"/>
        <v>0.45467160603468931</v>
      </c>
      <c r="AK75" s="204">
        <f>BD62</f>
        <v>0.81150283746379437</v>
      </c>
      <c r="AL75" s="204">
        <f>BA62</f>
        <v>1.6211473716630753</v>
      </c>
      <c r="AM75" s="204">
        <f t="shared" ref="AM75:AN75" si="28">BB62</f>
        <v>4.3474354461449263</v>
      </c>
      <c r="AN75" s="204">
        <f t="shared" si="28"/>
        <v>0.43856343039294582</v>
      </c>
      <c r="AO75" s="204">
        <f>SUM(AH75:AN75)-BF62</f>
        <v>0</v>
      </c>
    </row>
  </sheetData>
  <mergeCells count="21">
    <mergeCell ref="R1:R22"/>
    <mergeCell ref="AH32:AQ33"/>
    <mergeCell ref="V35:Y35"/>
    <mergeCell ref="Z35:Z36"/>
    <mergeCell ref="AA35:AC35"/>
    <mergeCell ref="AH35:AK35"/>
    <mergeCell ref="AL35:AL36"/>
    <mergeCell ref="AM35:AQ35"/>
    <mergeCell ref="A36:C36"/>
    <mergeCell ref="W60:Z60"/>
    <mergeCell ref="AA60:AC60"/>
    <mergeCell ref="AD60:AD61"/>
    <mergeCell ref="AI60:AK60"/>
    <mergeCell ref="BA60:BD60"/>
    <mergeCell ref="BF60:BF61"/>
    <mergeCell ref="AH71:AN71"/>
    <mergeCell ref="AV35:AY35"/>
    <mergeCell ref="BA35:BD35"/>
    <mergeCell ref="AL60:AO60"/>
    <mergeCell ref="AR60:AR61"/>
    <mergeCell ref="AV60:AY60"/>
  </mergeCells>
  <pageMargins left="0.7" right="0.7" top="0.75" bottom="0.75" header="0.3" footer="0.3"/>
  <pageSetup paperSize="9" orientation="portrait" verticalDpi="0"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5E12D-49A9-452C-8368-33C82640E37B}">
  <dimension ref="A1:AC15"/>
  <sheetViews>
    <sheetView topLeftCell="E1" zoomScale="115" zoomScaleNormal="115" workbookViewId="0">
      <selection activeCell="C24" sqref="C24"/>
    </sheetView>
  </sheetViews>
  <sheetFormatPr defaultRowHeight="14.4" x14ac:dyDescent="0.55000000000000004"/>
  <cols>
    <col min="1" max="1" width="16" style="45" bestFit="1" customWidth="1"/>
    <col min="2" max="2" width="12.47265625" style="45" bestFit="1" customWidth="1"/>
    <col min="3" max="3" width="14.7890625" style="45" bestFit="1" customWidth="1"/>
    <col min="4" max="4" width="10.3671875" style="45" bestFit="1" customWidth="1"/>
    <col min="5" max="5" width="30.15625" style="45" bestFit="1" customWidth="1"/>
    <col min="6" max="6" width="10" style="45" bestFit="1" customWidth="1"/>
    <col min="7" max="7" width="10.3671875" style="45" bestFit="1" customWidth="1"/>
    <col min="8" max="8" width="9" style="45" bestFit="1" customWidth="1"/>
    <col min="9" max="16384" width="8.83984375" style="45"/>
  </cols>
  <sheetData>
    <row r="1" spans="1:29" ht="14.7" thickBot="1" x14ac:dyDescent="0.6">
      <c r="A1" s="277" t="s">
        <v>373</v>
      </c>
      <c r="B1" s="277"/>
      <c r="C1" s="277"/>
      <c r="D1" s="277"/>
      <c r="E1" s="277"/>
      <c r="F1" s="277"/>
      <c r="G1" s="277"/>
      <c r="H1" s="277"/>
      <c r="I1" s="277"/>
      <c r="J1" s="277"/>
      <c r="K1" s="277"/>
      <c r="L1" s="277"/>
      <c r="M1" s="277"/>
      <c r="N1" s="277"/>
      <c r="O1" s="277"/>
      <c r="P1" s="277"/>
      <c r="Q1" s="277"/>
      <c r="R1" s="277"/>
      <c r="S1" s="277"/>
      <c r="X1" s="344" t="s">
        <v>339</v>
      </c>
      <c r="Y1" s="345"/>
      <c r="Z1" s="345"/>
      <c r="AA1" s="345"/>
      <c r="AB1" s="345"/>
      <c r="AC1" s="346"/>
    </row>
    <row r="2" spans="1:29" ht="17.100000000000001" thickBot="1" x14ac:dyDescent="0.6">
      <c r="A2" s="277"/>
      <c r="B2" s="277"/>
      <c r="C2" s="277"/>
      <c r="D2" s="277"/>
      <c r="E2" s="277"/>
      <c r="F2" s="277"/>
      <c r="G2" s="277"/>
      <c r="H2" s="277"/>
      <c r="I2" s="277"/>
      <c r="J2" s="277"/>
      <c r="K2" s="277"/>
      <c r="L2" s="277"/>
      <c r="M2" s="277"/>
      <c r="N2" s="277"/>
      <c r="O2" s="277"/>
      <c r="P2" s="277"/>
      <c r="Q2" s="277"/>
      <c r="R2" s="277"/>
      <c r="S2" s="277"/>
      <c r="Z2" s="45" t="s">
        <v>330</v>
      </c>
      <c r="AA2" s="45" t="s">
        <v>338</v>
      </c>
      <c r="AB2" s="45" t="s">
        <v>332</v>
      </c>
    </row>
    <row r="3" spans="1:29" ht="21" customHeight="1" thickBot="1" x14ac:dyDescent="0.6">
      <c r="B3" s="240" t="s">
        <v>359</v>
      </c>
      <c r="C3" s="240" t="s">
        <v>357</v>
      </c>
      <c r="D3" s="240" t="s">
        <v>358</v>
      </c>
      <c r="E3" s="241" t="s">
        <v>372</v>
      </c>
      <c r="F3" s="236" t="s">
        <v>90</v>
      </c>
      <c r="G3" s="236" t="s">
        <v>361</v>
      </c>
      <c r="H3" s="236" t="s">
        <v>365</v>
      </c>
      <c r="Y3" s="217" t="s">
        <v>333</v>
      </c>
      <c r="Z3" s="213">
        <v>10.06</v>
      </c>
      <c r="AA3" s="219">
        <v>14.18</v>
      </c>
      <c r="AB3" s="219">
        <v>9.4700000000000006</v>
      </c>
    </row>
    <row r="4" spans="1:29" ht="16.2" customHeight="1" thickBot="1" x14ac:dyDescent="0.6">
      <c r="A4" s="57" t="s">
        <v>374</v>
      </c>
      <c r="B4" s="242">
        <f>'contributi LCOH 0,08 '!AH73</f>
        <v>4.6691884627573357</v>
      </c>
      <c r="C4" s="242">
        <f>'contributi LCOH 0,08 '!AI73</f>
        <v>3.118826766617442E-2</v>
      </c>
      <c r="D4" s="242">
        <f>'contributi LCOH 0,08 '!AJ73</f>
        <v>0.45467160603468931</v>
      </c>
      <c r="E4" s="242">
        <f>'contributi LCOH 0,08 '!AK73</f>
        <v>1.4007565388272007</v>
      </c>
      <c r="F4" s="242">
        <f>'contributi LCOH 0,08 '!AL73</f>
        <v>1.6211473716630753</v>
      </c>
      <c r="G4" s="242">
        <f>'contributi LCOH 0,08 '!AM73</f>
        <v>1.4491451487149756</v>
      </c>
      <c r="H4" s="243">
        <f>'contributi LCOH 0,08 '!AN73</f>
        <v>0.43856343039294582</v>
      </c>
      <c r="I4" s="277"/>
      <c r="Y4" s="218" t="s">
        <v>334</v>
      </c>
      <c r="Z4" s="214">
        <v>10.79</v>
      </c>
      <c r="AA4" s="220">
        <v>15.27</v>
      </c>
      <c r="AB4" s="220">
        <v>10.199999999999999</v>
      </c>
    </row>
    <row r="5" spans="1:29" ht="16.8" customHeight="1" thickBot="1" x14ac:dyDescent="0.6">
      <c r="A5" s="60" t="s">
        <v>378</v>
      </c>
      <c r="B5" s="244">
        <f>'contributi LCOH 0,08 '!AH74</f>
        <v>6.9892251629993387</v>
      </c>
      <c r="C5" s="244">
        <f>'contributi LCOH 0,08 '!AI74</f>
        <v>4.6685163150184394E-2</v>
      </c>
      <c r="D5" s="244">
        <f>'contributi LCOH 0,08 '!AJ74</f>
        <v>0.68058984021440794</v>
      </c>
      <c r="E5" s="244">
        <f>'contributi LCOH 0,08 '!AK74</f>
        <v>1.2147241638856254</v>
      </c>
      <c r="F5" s="244">
        <f>'contributi LCOH 0,08 '!AL74</f>
        <v>2.4266666666666676</v>
      </c>
      <c r="G5" s="244">
        <f>'contributi LCOH 0,08 '!AM74</f>
        <v>2.1691995983935746</v>
      </c>
      <c r="H5" s="124">
        <f>'contributi LCOH 0,08 '!AN74</f>
        <v>0.65647779859876465</v>
      </c>
      <c r="I5" s="277"/>
      <c r="Y5" s="218" t="s">
        <v>335</v>
      </c>
      <c r="Z5" s="214">
        <v>11.51</v>
      </c>
      <c r="AA5" s="220">
        <v>16.350000000000001</v>
      </c>
      <c r="AB5" s="220">
        <v>10.92</v>
      </c>
    </row>
    <row r="6" spans="1:29" ht="17.100000000000001" customHeight="1" thickBot="1" x14ac:dyDescent="0.6">
      <c r="A6" s="58" t="s">
        <v>379</v>
      </c>
      <c r="B6" s="245">
        <f>'contributi LCOH 0,08 '!AH75</f>
        <v>4.6691884627573357</v>
      </c>
      <c r="C6" s="245">
        <f>'contributi LCOH 0,08 '!AI75</f>
        <v>3.118826766617442E-2</v>
      </c>
      <c r="D6" s="245">
        <f>'contributi LCOH 0,08 '!AJ75</f>
        <v>0.45467160603468931</v>
      </c>
      <c r="E6" s="245">
        <f>'contributi LCOH 0,08 '!AK75</f>
        <v>0.81150283746379437</v>
      </c>
      <c r="F6" s="245">
        <f>'contributi LCOH 0,08 '!AL75</f>
        <v>1.6211473716630753</v>
      </c>
      <c r="G6" s="245">
        <f>'contributi LCOH 0,08 '!AM75</f>
        <v>1.4491451487149756</v>
      </c>
      <c r="H6" s="125">
        <f>'contributi LCOH 0,08 '!AN75</f>
        <v>0.43856343039294582</v>
      </c>
      <c r="I6" s="277"/>
      <c r="Y6" s="218" t="s">
        <v>336</v>
      </c>
      <c r="Z6" s="214">
        <v>12.96</v>
      </c>
      <c r="AA6" s="220">
        <v>18.52</v>
      </c>
      <c r="AB6" s="220">
        <v>12.37</v>
      </c>
    </row>
    <row r="7" spans="1:29" ht="19.8" customHeight="1" thickBot="1" x14ac:dyDescent="0.6">
      <c r="A7" s="57" t="s">
        <v>375</v>
      </c>
      <c r="B7" s="242">
        <f>'contributi LCOH 0,12'!AH73</f>
        <v>4.6691884627573357</v>
      </c>
      <c r="C7" s="242">
        <f>'contributi LCOH 0,12'!AI73</f>
        <v>3.118826766617442E-2</v>
      </c>
      <c r="D7" s="242">
        <f>'contributi LCOH 0,12'!AJ73</f>
        <v>0.45467160603468931</v>
      </c>
      <c r="E7" s="242">
        <f>'contributi LCOH 0,12'!AK73</f>
        <v>1.4007565388272007</v>
      </c>
      <c r="F7" s="242">
        <f>'contributi LCOH 0,12'!AL73</f>
        <v>1.6211473716630753</v>
      </c>
      <c r="G7" s="242">
        <f>'contributi LCOH 0,12'!AM73</f>
        <v>2.1737177230724631</v>
      </c>
      <c r="H7" s="243">
        <f>'contributi LCOH 0,12'!AN73</f>
        <v>0.43856343039294582</v>
      </c>
      <c r="Y7" s="218" t="s">
        <v>337</v>
      </c>
      <c r="Z7" s="214">
        <v>16.59</v>
      </c>
      <c r="AA7" s="220">
        <v>23.94</v>
      </c>
      <c r="AB7" s="220">
        <v>16</v>
      </c>
    </row>
    <row r="8" spans="1:29" ht="14.7" thickBot="1" x14ac:dyDescent="0.6">
      <c r="A8" s="60" t="s">
        <v>380</v>
      </c>
      <c r="B8" s="244">
        <f>'contributi LCOH 0,12'!AH74</f>
        <v>6.9892251629993387</v>
      </c>
      <c r="C8" s="244">
        <f>'contributi LCOH 0,12'!AI74</f>
        <v>4.6685163150184394E-2</v>
      </c>
      <c r="D8" s="244">
        <f>'contributi LCOH 0,12'!AJ74</f>
        <v>0.68058984021440794</v>
      </c>
      <c r="E8" s="244">
        <f>'contributi LCOH 0,12'!AK74</f>
        <v>1.2147241638856254</v>
      </c>
      <c r="F8" s="244">
        <f>'contributi LCOH 0,12'!AL74</f>
        <v>2.4266666666666676</v>
      </c>
      <c r="G8" s="244">
        <f>'contributi LCOH 0,12'!AM74</f>
        <v>3.2537993975903614</v>
      </c>
      <c r="H8" s="124">
        <f>'contributi LCOH 0,12'!AN74</f>
        <v>0.65647779859876465</v>
      </c>
      <c r="Y8" s="218"/>
      <c r="Z8" s="214"/>
      <c r="AA8" s="220"/>
      <c r="AB8" s="220"/>
    </row>
    <row r="9" spans="1:29" ht="14.7" thickBot="1" x14ac:dyDescent="0.6">
      <c r="A9" s="58" t="s">
        <v>381</v>
      </c>
      <c r="B9" s="245">
        <f>'contributi LCOH 0,12'!AH75</f>
        <v>4.6691884627573357</v>
      </c>
      <c r="C9" s="245">
        <f>'contributi LCOH 0,12'!AI75</f>
        <v>3.118826766617442E-2</v>
      </c>
      <c r="D9" s="245">
        <f>'contributi LCOH 0,12'!AJ75</f>
        <v>0.45467160603468931</v>
      </c>
      <c r="E9" s="245">
        <f>'contributi LCOH 0,12'!AK75</f>
        <v>0.81150283746379437</v>
      </c>
      <c r="F9" s="245">
        <f>'contributi LCOH 0,12'!AL75</f>
        <v>1.6211473716630753</v>
      </c>
      <c r="G9" s="245">
        <f>'contributi LCOH 0,12'!AM75</f>
        <v>2.1737177230724631</v>
      </c>
      <c r="H9" s="125">
        <f>'contributi LCOH 0,12'!AN75</f>
        <v>0.43856343039294582</v>
      </c>
      <c r="Y9" s="218"/>
      <c r="Z9" s="214"/>
      <c r="AA9" s="220"/>
      <c r="AB9" s="220"/>
    </row>
    <row r="10" spans="1:29" ht="14.7" thickBot="1" x14ac:dyDescent="0.6">
      <c r="A10" s="57" t="s">
        <v>376</v>
      </c>
      <c r="B10" s="242">
        <f>'contributi LCOH 0,16'!AH73</f>
        <v>4.6691884627573357</v>
      </c>
      <c r="C10" s="242">
        <f>'contributi LCOH 0,16'!AI73</f>
        <v>3.118826766617442E-2</v>
      </c>
      <c r="D10" s="242">
        <f>'contributi LCOH 0,16'!AJ73</f>
        <v>0.45467160603468931</v>
      </c>
      <c r="E10" s="242">
        <f>'contributi LCOH 0,16'!AK73</f>
        <v>1.4007565388272007</v>
      </c>
      <c r="F10" s="242">
        <f>'contributi LCOH 0,16'!AL73</f>
        <v>1.6211473716630753</v>
      </c>
      <c r="G10" s="242">
        <f>'contributi LCOH 0,16'!AM73</f>
        <v>2.8982902974299511</v>
      </c>
      <c r="H10" s="243">
        <f>'contributi LCOH 0,16'!AN73</f>
        <v>0.43856343039294582</v>
      </c>
      <c r="Y10" s="218"/>
      <c r="Z10" s="214"/>
      <c r="AA10" s="220"/>
      <c r="AB10" s="220"/>
    </row>
    <row r="11" spans="1:29" ht="14.7" thickBot="1" x14ac:dyDescent="0.6">
      <c r="A11" s="60" t="s">
        <v>382</v>
      </c>
      <c r="B11" s="244">
        <f>'contributi LCOH 0,16'!AH74</f>
        <v>6.9892251629993387</v>
      </c>
      <c r="C11" s="244">
        <f>'contributi LCOH 0,16'!AI74</f>
        <v>4.6685163150184394E-2</v>
      </c>
      <c r="D11" s="244">
        <f>'contributi LCOH 0,16'!AJ74</f>
        <v>0.68058984021440794</v>
      </c>
      <c r="E11" s="244">
        <f>'contributi LCOH 0,16'!AK74</f>
        <v>1.2147241638856254</v>
      </c>
      <c r="F11" s="244">
        <f>'contributi LCOH 0,16'!AL74</f>
        <v>2.4266666666666676</v>
      </c>
      <c r="G11" s="244">
        <f>'contributi LCOH 0,16'!AM74</f>
        <v>4.3383991967871491</v>
      </c>
      <c r="H11" s="124">
        <f>'contributi LCOH 0,16'!AN74</f>
        <v>0.65647779859876465</v>
      </c>
      <c r="Y11" s="218"/>
      <c r="Z11" s="214"/>
      <c r="AA11" s="220"/>
      <c r="AB11" s="220"/>
    </row>
    <row r="12" spans="1:29" ht="14.7" thickBot="1" x14ac:dyDescent="0.6">
      <c r="A12" s="58" t="s">
        <v>383</v>
      </c>
      <c r="B12" s="245">
        <f>'contributi LCOH 0,16'!AH75</f>
        <v>4.6691884627573357</v>
      </c>
      <c r="C12" s="245">
        <f>'contributi LCOH 0,16'!AI75</f>
        <v>3.118826766617442E-2</v>
      </c>
      <c r="D12" s="245">
        <f>'contributi LCOH 0,16'!AJ75</f>
        <v>0.45467160603468931</v>
      </c>
      <c r="E12" s="245">
        <f>'contributi LCOH 0,16'!AK75</f>
        <v>0.81150283746379437</v>
      </c>
      <c r="F12" s="245">
        <f>'contributi LCOH 0,16'!AL75</f>
        <v>1.6211473716630753</v>
      </c>
      <c r="G12" s="245">
        <f>'contributi LCOH 0,16'!AM75</f>
        <v>2.8982902974299511</v>
      </c>
      <c r="H12" s="125">
        <f>'contributi LCOH 0,16'!AN75</f>
        <v>0.43856343039294582</v>
      </c>
    </row>
    <row r="13" spans="1:29" x14ac:dyDescent="0.55000000000000004">
      <c r="A13" s="57" t="s">
        <v>377</v>
      </c>
      <c r="B13" s="242">
        <f>'contributi LCOH 0,24'!AH73</f>
        <v>4.6691884627573357</v>
      </c>
      <c r="C13" s="242">
        <f>'contributi LCOH 0,24'!AI73</f>
        <v>3.118826766617442E-2</v>
      </c>
      <c r="D13" s="242">
        <f>'contributi LCOH 0,24'!AJ73</f>
        <v>0.45467160603468931</v>
      </c>
      <c r="E13" s="242">
        <f>'contributi LCOH 0,24'!AK73</f>
        <v>1.4007565388272007</v>
      </c>
      <c r="F13" s="242">
        <f>'contributi LCOH 0,24'!AL73</f>
        <v>1.6211473716630753</v>
      </c>
      <c r="G13" s="242">
        <f>'contributi LCOH 0,24'!AM73</f>
        <v>4.3474354461449263</v>
      </c>
      <c r="H13" s="243">
        <f>'contributi LCOH 0,24'!AN73</f>
        <v>0.43856343039294582</v>
      </c>
    </row>
    <row r="14" spans="1:29" x14ac:dyDescent="0.55000000000000004">
      <c r="A14" s="60" t="s">
        <v>384</v>
      </c>
      <c r="B14" s="244">
        <f>'contributi LCOH 0,24'!AH74</f>
        <v>6.9892251629993387</v>
      </c>
      <c r="C14" s="244">
        <f>'contributi LCOH 0,24'!AI74</f>
        <v>4.6685163150184394E-2</v>
      </c>
      <c r="D14" s="244">
        <f>'contributi LCOH 0,24'!AJ74</f>
        <v>0.68058984021440794</v>
      </c>
      <c r="E14" s="244">
        <f>'contributi LCOH 0,24'!AK74</f>
        <v>1.2147241638856254</v>
      </c>
      <c r="F14" s="244">
        <f>'contributi LCOH 0,24'!AL74</f>
        <v>2.4266666666666676</v>
      </c>
      <c r="G14" s="244">
        <f>'contributi LCOH 0,24'!AM74</f>
        <v>6.5075987951807228</v>
      </c>
      <c r="H14" s="124">
        <f>'contributi LCOH 0,24'!AN74</f>
        <v>0.65647779859876465</v>
      </c>
    </row>
    <row r="15" spans="1:29" ht="14.7" thickBot="1" x14ac:dyDescent="0.6">
      <c r="A15" s="58" t="s">
        <v>385</v>
      </c>
      <c r="B15" s="245">
        <f>'contributi LCOH 0,24'!AH75</f>
        <v>4.6691884627573357</v>
      </c>
      <c r="C15" s="245">
        <f>'contributi LCOH 0,24'!AI75</f>
        <v>3.118826766617442E-2</v>
      </c>
      <c r="D15" s="245">
        <f>'contributi LCOH 0,24'!AJ75</f>
        <v>0.45467160603468931</v>
      </c>
      <c r="E15" s="245">
        <f>'contributi LCOH 0,24'!AK75</f>
        <v>0.81150283746379437</v>
      </c>
      <c r="F15" s="245">
        <f>'contributi LCOH 0,24'!AL75</f>
        <v>1.6211473716630753</v>
      </c>
      <c r="G15" s="245">
        <f>'contributi LCOH 0,24'!AM75</f>
        <v>4.3474354461449263</v>
      </c>
      <c r="H15" s="125">
        <f>'contributi LCOH 0,24'!AN75</f>
        <v>0.43856343039294582</v>
      </c>
    </row>
  </sheetData>
  <mergeCells count="3">
    <mergeCell ref="X1:AC1"/>
    <mergeCell ref="A1:S2"/>
    <mergeCell ref="I4:I6"/>
  </mergeCells>
  <pageMargins left="0.7" right="0.7" top="0.75" bottom="0.75" header="0.3" footer="0.3"/>
  <pageSetup paperSize="9" orientation="portrait"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0AC3C-41E6-4C34-A3E6-0279764EA024}">
  <dimension ref="A1:T5"/>
  <sheetViews>
    <sheetView workbookViewId="0">
      <selection activeCell="C5" sqref="C5"/>
    </sheetView>
  </sheetViews>
  <sheetFormatPr defaultRowHeight="14.4" x14ac:dyDescent="0.55000000000000004"/>
  <cols>
    <col min="18" max="18" width="16.26171875" bestFit="1" customWidth="1"/>
    <col min="19" max="19" width="11.68359375" bestFit="1" customWidth="1"/>
    <col min="20" max="20" width="14.05078125" bestFit="1" customWidth="1"/>
  </cols>
  <sheetData>
    <row r="1" spans="1:20" x14ac:dyDescent="0.55000000000000004">
      <c r="A1" s="275" t="s">
        <v>329</v>
      </c>
      <c r="B1" s="275"/>
      <c r="C1" s="275"/>
      <c r="D1" s="275"/>
      <c r="E1" s="275"/>
      <c r="F1" s="275"/>
      <c r="G1" s="275"/>
      <c r="H1" s="275"/>
      <c r="I1" s="275"/>
    </row>
    <row r="2" spans="1:20" ht="14.7" thickBot="1" x14ac:dyDescent="0.6">
      <c r="A2" t="s">
        <v>261</v>
      </c>
      <c r="R2" t="s">
        <v>345</v>
      </c>
      <c r="S2" t="s">
        <v>343</v>
      </c>
      <c r="T2" t="s">
        <v>341</v>
      </c>
    </row>
    <row r="3" spans="1:20" ht="17.100000000000001" thickBot="1" x14ac:dyDescent="0.8">
      <c r="A3" t="s">
        <v>330</v>
      </c>
      <c r="B3" s="213">
        <v>10.79</v>
      </c>
      <c r="C3" s="215">
        <v>10.36</v>
      </c>
      <c r="D3" s="216"/>
      <c r="Q3" t="s">
        <v>330</v>
      </c>
      <c r="R3" s="204">
        <f>'contributi LCOH 0,12'!R30</f>
        <v>2.0597108020560211</v>
      </c>
      <c r="S3" s="204">
        <f>'contributi LCOH 0,12'!S30</f>
        <v>2.1737177230724631</v>
      </c>
      <c r="T3" s="204">
        <f>'contributi LCOH 0,12'!U30</f>
        <v>6.5558048752854017</v>
      </c>
    </row>
    <row r="4" spans="1:20" ht="17.100000000000001" thickBot="1" x14ac:dyDescent="0.8">
      <c r="A4" t="s">
        <v>331</v>
      </c>
      <c r="B4" s="214">
        <v>15.27</v>
      </c>
      <c r="C4">
        <v>14.63</v>
      </c>
      <c r="Q4" t="s">
        <v>331</v>
      </c>
      <c r="R4">
        <v>3</v>
      </c>
      <c r="S4">
        <v>4</v>
      </c>
      <c r="T4">
        <v>5</v>
      </c>
    </row>
    <row r="5" spans="1:20" ht="17.100000000000001" thickBot="1" x14ac:dyDescent="0.8">
      <c r="A5" t="s">
        <v>332</v>
      </c>
      <c r="B5" s="214">
        <v>10.199999999999999</v>
      </c>
      <c r="C5">
        <v>9.77</v>
      </c>
      <c r="Q5" t="s">
        <v>332</v>
      </c>
    </row>
  </sheetData>
  <mergeCells count="1">
    <mergeCell ref="A1:I1"/>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D9538-FB7E-41AC-B624-82E21E914D1F}">
  <dimension ref="A1:W28"/>
  <sheetViews>
    <sheetView topLeftCell="G1" zoomScale="97" workbookViewId="0">
      <selection activeCell="S18" sqref="S18"/>
    </sheetView>
  </sheetViews>
  <sheetFormatPr defaultRowHeight="14.4" x14ac:dyDescent="0.55000000000000004"/>
  <cols>
    <col min="1" max="1" width="11.68359375" bestFit="1" customWidth="1"/>
    <col min="2" max="2" width="16.578125" bestFit="1" customWidth="1"/>
    <col min="3" max="3" width="16.15625" bestFit="1" customWidth="1"/>
    <col min="4" max="5" width="16.15625" customWidth="1"/>
    <col min="6" max="6" width="12.578125" customWidth="1"/>
    <col min="7" max="7" width="15" bestFit="1" customWidth="1"/>
    <col min="8" max="8" width="25" bestFit="1" customWidth="1"/>
    <col min="9" max="9" width="16.578125" bestFit="1" customWidth="1"/>
  </cols>
  <sheetData>
    <row r="1" spans="1:23" ht="14.7" thickBot="1" x14ac:dyDescent="0.6">
      <c r="A1" s="252" t="s">
        <v>48</v>
      </c>
      <c r="B1" s="253"/>
      <c r="C1" s="254"/>
      <c r="D1" s="71"/>
      <c r="E1" s="71"/>
      <c r="I1" t="s">
        <v>49</v>
      </c>
      <c r="J1" s="255" t="s">
        <v>50</v>
      </c>
      <c r="K1" s="256"/>
      <c r="L1" s="256"/>
      <c r="M1" s="257"/>
      <c r="P1" s="252" t="s">
        <v>51</v>
      </c>
      <c r="Q1" s="253"/>
      <c r="R1" s="253"/>
      <c r="S1" s="254"/>
    </row>
    <row r="2" spans="1:23" ht="14.7" thickBot="1" x14ac:dyDescent="0.6">
      <c r="A2" s="18" t="s">
        <v>52</v>
      </c>
      <c r="B2" s="18" t="s">
        <v>53</v>
      </c>
      <c r="C2" s="18" t="s">
        <v>54</v>
      </c>
      <c r="D2" s="18" t="s">
        <v>55</v>
      </c>
      <c r="E2" s="18"/>
      <c r="F2" s="18" t="s">
        <v>56</v>
      </c>
      <c r="G2" s="18" t="s">
        <v>57</v>
      </c>
      <c r="H2" s="18" t="s">
        <v>58</v>
      </c>
      <c r="I2" s="18" t="s">
        <v>59</v>
      </c>
      <c r="J2" s="17" t="s">
        <v>60</v>
      </c>
      <c r="K2" s="18" t="s">
        <v>61</v>
      </c>
      <c r="L2" s="19" t="s">
        <v>62</v>
      </c>
      <c r="M2" s="20" t="s">
        <v>63</v>
      </c>
      <c r="P2" s="17" t="s">
        <v>60</v>
      </c>
      <c r="Q2" s="18" t="s">
        <v>61</v>
      </c>
      <c r="R2" s="19" t="s">
        <v>62</v>
      </c>
      <c r="S2" s="20" t="s">
        <v>63</v>
      </c>
    </row>
    <row r="3" spans="1:23" ht="14.7" thickBot="1" x14ac:dyDescent="0.6">
      <c r="A3" s="29">
        <v>0.31821729871961801</v>
      </c>
      <c r="B3" s="30">
        <v>9.9695947435167103</v>
      </c>
      <c r="C3" s="21">
        <f>A3*B3</f>
        <v>3.1724975086111904</v>
      </c>
      <c r="D3" s="25">
        <f>(P3/100/24/365/3600)*($B$28)/(C3*$I$3/1000)</f>
        <v>3.9083879000181336</v>
      </c>
      <c r="E3" s="25">
        <f>1/D3</f>
        <v>0.25585996722468624</v>
      </c>
      <c r="F3" s="25">
        <v>100</v>
      </c>
      <c r="G3" s="26">
        <f>24*365</f>
        <v>8760</v>
      </c>
      <c r="H3" s="26">
        <f>G3*3600</f>
        <v>31536000</v>
      </c>
      <c r="I3" s="26">
        <v>1200</v>
      </c>
      <c r="J3" s="24">
        <f>$G$3*$F$3*C3*$I$3/10^6</f>
        <v>3334.9293810520835</v>
      </c>
      <c r="K3" s="21">
        <f>$G$3*$F$4*C3*$I$3/10^6</f>
        <v>16674.646905260415</v>
      </c>
      <c r="L3" s="21">
        <f>$G$3*$F$5*C3*$I$3/10^6</f>
        <v>33349.29381052083</v>
      </c>
      <c r="M3" s="25">
        <f>$G$3*$F$6*C3*$I$3/10^6</f>
        <v>66698.587621041661</v>
      </c>
      <c r="P3" s="24">
        <f>B3*$B$27*$H$3*$F$3*$I$3/$B$26/$B$25/1000/1000</f>
        <v>391.02592920956783</v>
      </c>
      <c r="Q3" s="21">
        <f>B3*$B$27*$H$3*$F$4*$I$3/$B$26/$B$25/1000/1000</f>
        <v>1955.1296460478395</v>
      </c>
      <c r="R3" s="21">
        <f>B3*$B$27*$H$3*$F$5*$I$3/$B$26/$B$25/1000/1000</f>
        <v>3910.259292095679</v>
      </c>
      <c r="S3" s="25">
        <f>B3*$B$27*$H$3*$F$6*$I$3/$B$26/$B$25/1000/1000</f>
        <v>7820.5185841913581</v>
      </c>
      <c r="W3">
        <f>(P3*B28/3600/1000)/J3</f>
        <v>3.9083879000181345</v>
      </c>
    </row>
    <row r="4" spans="1:23" ht="14.7" thickBot="1" x14ac:dyDescent="0.6">
      <c r="A4" s="14">
        <v>0.35474209255642364</v>
      </c>
      <c r="B4" s="31">
        <v>19.977135128445092</v>
      </c>
      <c r="C4" s="7">
        <f t="shared" ref="C4:C22" si="0">A4*B4</f>
        <v>7.0867307187470505</v>
      </c>
      <c r="D4" s="25">
        <f t="shared" ref="D4:D22" si="1">(P4/100/24/365/3600)*($B$28)/(C4*$I$3/1000)</f>
        <v>3.5059742443572346</v>
      </c>
      <c r="E4" s="25">
        <f t="shared" ref="E4:E22" si="2">1/D4</f>
        <v>0.28522742333588774</v>
      </c>
      <c r="F4" s="56">
        <v>500</v>
      </c>
      <c r="G4" t="s">
        <v>64</v>
      </c>
      <c r="J4" s="5">
        <f>$G$3*$F$3*C4*$I$3/10^6</f>
        <v>7449.5713315468993</v>
      </c>
      <c r="K4" s="7">
        <f t="shared" ref="K4:K22" si="3">$G$3*$F$4*C4*$I$3/10^6</f>
        <v>37247.856657734497</v>
      </c>
      <c r="L4" s="21">
        <f t="shared" ref="L4:L22" si="4">$G$3*$F$5*C4*$I$3/10^6</f>
        <v>74495.713315468995</v>
      </c>
      <c r="M4" s="6">
        <f t="shared" ref="M4:M22" si="5">$G$3*$F$6*C4*$I$3/10^6</f>
        <v>148991.42663093799</v>
      </c>
      <c r="P4" s="24">
        <f t="shared" ref="P4:P22" si="6">B4*$B$27*$H$3*$F$3*$I$3/$B$26/$B$25/1000/1000</f>
        <v>783.54015659716356</v>
      </c>
      <c r="Q4" s="21">
        <f t="shared" ref="Q4:Q22" si="7">B4*$B$27*$H$3*$F$4*$I$3/$B$26/$B$25/1000/1000</f>
        <v>3917.700782985818</v>
      </c>
      <c r="R4" s="21">
        <f t="shared" ref="R4:R22" si="8">B4*$B$27*$H$3*$F$5*$I$3/$B$26/$B$25/1000/1000</f>
        <v>7835.401565971636</v>
      </c>
      <c r="S4" s="25">
        <f t="shared" ref="S4:S22" si="9">B4*$B$27*$H$3*$F$6*$I$3/$B$26/$B$25/1000/1000</f>
        <v>15670.803131943272</v>
      </c>
    </row>
    <row r="5" spans="1:23" ht="14.7" thickBot="1" x14ac:dyDescent="0.6">
      <c r="A5" s="14">
        <v>0.38751712375217012</v>
      </c>
      <c r="B5" s="31">
        <v>29.990906185573998</v>
      </c>
      <c r="C5" s="7">
        <f t="shared" si="0"/>
        <v>11.621989703754803</v>
      </c>
      <c r="D5" s="25">
        <f t="shared" si="1"/>
        <v>3.2094495021273142</v>
      </c>
      <c r="E5" s="25">
        <f t="shared" si="2"/>
        <v>0.31157991404356777</v>
      </c>
      <c r="F5" s="6">
        <v>1000</v>
      </c>
      <c r="J5" s="5">
        <f t="shared" ref="J5:J22" si="10">$G$3*$F$3*C5*$I$3/10^6</f>
        <v>12217.03557658705</v>
      </c>
      <c r="K5" s="7">
        <f t="shared" si="3"/>
        <v>61085.177882935248</v>
      </c>
      <c r="L5" s="21">
        <f t="shared" si="4"/>
        <v>122170.3557658705</v>
      </c>
      <c r="M5" s="6">
        <f t="shared" si="5"/>
        <v>244340.71153174099</v>
      </c>
      <c r="P5" s="24">
        <f t="shared" si="6"/>
        <v>1176.2987624624698</v>
      </c>
      <c r="Q5" s="21">
        <f t="shared" si="7"/>
        <v>5881.4938123123493</v>
      </c>
      <c r="R5" s="21">
        <f t="shared" si="8"/>
        <v>11762.987624624699</v>
      </c>
      <c r="S5" s="25">
        <f t="shared" si="9"/>
        <v>23525.975249249397</v>
      </c>
    </row>
    <row r="6" spans="1:23" ht="14.7" thickBot="1" x14ac:dyDescent="0.6">
      <c r="A6" s="14">
        <v>0.41846110026041666</v>
      </c>
      <c r="B6" s="31">
        <v>39.920806884765625</v>
      </c>
      <c r="C6" s="7">
        <f t="shared" si="0"/>
        <v>16.705304772282641</v>
      </c>
      <c r="D6" s="25">
        <f t="shared" si="1"/>
        <v>2.9721200826509833</v>
      </c>
      <c r="E6" s="25">
        <f t="shared" si="2"/>
        <v>0.3364601604885526</v>
      </c>
      <c r="F6" s="13">
        <v>2000</v>
      </c>
      <c r="J6" s="5">
        <f t="shared" si="10"/>
        <v>17560.616376623511</v>
      </c>
      <c r="K6" s="7">
        <f t="shared" si="3"/>
        <v>87803.081883117557</v>
      </c>
      <c r="L6" s="21">
        <f t="shared" si="4"/>
        <v>175606.16376623511</v>
      </c>
      <c r="M6" s="6">
        <f t="shared" si="5"/>
        <v>351212.32753247023</v>
      </c>
      <c r="P6" s="24">
        <f t="shared" si="6"/>
        <v>1565.7678179007748</v>
      </c>
      <c r="Q6" s="21">
        <f t="shared" si="7"/>
        <v>7828.8390895038738</v>
      </c>
      <c r="R6" s="21">
        <f t="shared" si="8"/>
        <v>15657.678179007748</v>
      </c>
      <c r="S6" s="25">
        <f t="shared" si="9"/>
        <v>31315.356358015495</v>
      </c>
    </row>
    <row r="7" spans="1:23" ht="14.7" thickBot="1" x14ac:dyDescent="0.6">
      <c r="A7" s="14">
        <v>0.4482911851671007</v>
      </c>
      <c r="B7" s="31">
        <v>49.93438720703125</v>
      </c>
      <c r="C7" s="7">
        <f t="shared" si="0"/>
        <v>22.385145621632951</v>
      </c>
      <c r="D7" s="25">
        <f t="shared" si="1"/>
        <v>2.7743499784155143</v>
      </c>
      <c r="E7" s="25">
        <f t="shared" si="2"/>
        <v>0.36044479167373095</v>
      </c>
      <c r="J7" s="5">
        <f t="shared" si="10"/>
        <v>23531.265077460561</v>
      </c>
      <c r="K7" s="7">
        <f t="shared" si="3"/>
        <v>117656.3253873028</v>
      </c>
      <c r="L7" s="21">
        <f t="shared" si="4"/>
        <v>235312.6507746056</v>
      </c>
      <c r="M7" s="6">
        <f t="shared" si="5"/>
        <v>470625.3015492112</v>
      </c>
      <c r="P7" s="24">
        <f t="shared" si="6"/>
        <v>1958.5189427922735</v>
      </c>
      <c r="Q7" s="21">
        <f t="shared" si="7"/>
        <v>9792.5947139613672</v>
      </c>
      <c r="R7" s="21">
        <f t="shared" si="8"/>
        <v>19585.189427922734</v>
      </c>
      <c r="S7" s="25">
        <f t="shared" si="9"/>
        <v>39170.378855845469</v>
      </c>
    </row>
    <row r="8" spans="1:23" ht="14.7" thickBot="1" x14ac:dyDescent="0.6">
      <c r="A8" s="14">
        <v>0.4768775092230903</v>
      </c>
      <c r="B8" s="31">
        <v>59.96682908799913</v>
      </c>
      <c r="C8" s="7">
        <f t="shared" si="0"/>
        <v>28.596832091491784</v>
      </c>
      <c r="D8" s="25">
        <f t="shared" si="1"/>
        <v>2.6080421404616554</v>
      </c>
      <c r="E8" s="25">
        <f t="shared" si="2"/>
        <v>0.38342938731158221</v>
      </c>
      <c r="J8" s="5">
        <f t="shared" si="10"/>
        <v>30060.989894576163</v>
      </c>
      <c r="K8" s="7">
        <f t="shared" si="3"/>
        <v>150304.94947288083</v>
      </c>
      <c r="L8" s="21">
        <f t="shared" si="4"/>
        <v>300609.89894576167</v>
      </c>
      <c r="M8" s="6">
        <f t="shared" si="5"/>
        <v>601219.79789152334</v>
      </c>
      <c r="P8" s="24">
        <f t="shared" si="6"/>
        <v>2352.0098528713984</v>
      </c>
      <c r="Q8" s="21">
        <f t="shared" si="7"/>
        <v>11760.049264356992</v>
      </c>
      <c r="R8" s="21">
        <f t="shared" si="8"/>
        <v>23520.098528713985</v>
      </c>
      <c r="S8" s="25">
        <f t="shared" si="9"/>
        <v>47040.197057427969</v>
      </c>
    </row>
    <row r="9" spans="1:23" ht="14.7" thickBot="1" x14ac:dyDescent="0.6">
      <c r="A9" s="14">
        <v>0.50444200303819442</v>
      </c>
      <c r="B9" s="31">
        <v>69.979243808322479</v>
      </c>
      <c r="C9" s="7">
        <f t="shared" si="0"/>
        <v>35.300469917768353</v>
      </c>
      <c r="D9" s="25">
        <f t="shared" si="1"/>
        <v>2.4655295007185236</v>
      </c>
      <c r="E9" s="25">
        <f t="shared" si="2"/>
        <v>0.4055923888595015</v>
      </c>
      <c r="J9" s="5">
        <f t="shared" si="10"/>
        <v>37107.853977558087</v>
      </c>
      <c r="K9" s="7">
        <f t="shared" si="3"/>
        <v>185539.26988779046</v>
      </c>
      <c r="L9" s="21">
        <f t="shared" si="4"/>
        <v>371078.53977558092</v>
      </c>
      <c r="M9" s="6">
        <f t="shared" si="5"/>
        <v>742157.07955116185</v>
      </c>
      <c r="P9" s="24">
        <f t="shared" si="6"/>
        <v>2744.7152607007406</v>
      </c>
      <c r="Q9" s="21">
        <f t="shared" si="7"/>
        <v>13723.576303503702</v>
      </c>
      <c r="R9" s="21">
        <f t="shared" si="8"/>
        <v>27447.152607007403</v>
      </c>
      <c r="S9" s="25">
        <f t="shared" si="9"/>
        <v>54894.305214014807</v>
      </c>
    </row>
    <row r="10" spans="1:23" ht="14.7" thickBot="1" x14ac:dyDescent="0.6">
      <c r="A10" s="14">
        <v>0.53115471733940978</v>
      </c>
      <c r="B10" s="31">
        <v>79.99420166015625</v>
      </c>
      <c r="C10" s="7">
        <f t="shared" si="0"/>
        <v>42.48929757159204</v>
      </c>
      <c r="D10" s="25">
        <f t="shared" si="1"/>
        <v>2.3415336422541304</v>
      </c>
      <c r="E10" s="25">
        <f t="shared" si="2"/>
        <v>0.42707052418744124</v>
      </c>
      <c r="J10" s="5">
        <f t="shared" si="10"/>
        <v>44664.749607257552</v>
      </c>
      <c r="K10" s="7">
        <f t="shared" si="3"/>
        <v>223323.74803628775</v>
      </c>
      <c r="L10" s="21">
        <f t="shared" si="4"/>
        <v>446647.49607257551</v>
      </c>
      <c r="M10" s="6">
        <f t="shared" si="5"/>
        <v>893294.99214515102</v>
      </c>
      <c r="P10" s="24">
        <f t="shared" si="6"/>
        <v>3137.520414847515</v>
      </c>
      <c r="Q10" s="21">
        <f t="shared" si="7"/>
        <v>15687.602074237575</v>
      </c>
      <c r="R10" s="21">
        <f t="shared" si="8"/>
        <v>31375.20414847515</v>
      </c>
      <c r="S10" s="25">
        <f t="shared" si="9"/>
        <v>62750.4082969503</v>
      </c>
    </row>
    <row r="11" spans="1:23" ht="14.7" thickBot="1" x14ac:dyDescent="0.6">
      <c r="A11" s="14">
        <v>0.55882822672526045</v>
      </c>
      <c r="B11" s="31">
        <v>90.007781982421875</v>
      </c>
      <c r="C11" s="7">
        <f t="shared" si="0"/>
        <v>50.298889196710661</v>
      </c>
      <c r="D11" s="25">
        <f t="shared" si="1"/>
        <v>2.2255794901062971</v>
      </c>
      <c r="E11" s="25">
        <f t="shared" si="2"/>
        <v>0.44932117879655625</v>
      </c>
      <c r="J11" s="5">
        <f t="shared" si="10"/>
        <v>52874.192323582247</v>
      </c>
      <c r="K11" s="7">
        <f t="shared" si="3"/>
        <v>264370.96161791123</v>
      </c>
      <c r="L11" s="21">
        <f t="shared" si="4"/>
        <v>528741.92323582247</v>
      </c>
      <c r="M11" s="6">
        <f t="shared" si="5"/>
        <v>1057483.8464716449</v>
      </c>
      <c r="P11" s="24">
        <f t="shared" si="6"/>
        <v>3530.2715397390139</v>
      </c>
      <c r="Q11" s="21">
        <f t="shared" si="7"/>
        <v>17651.357698695068</v>
      </c>
      <c r="R11" s="21">
        <f t="shared" si="8"/>
        <v>35302.715397390137</v>
      </c>
      <c r="S11" s="25">
        <f t="shared" si="9"/>
        <v>70605.430794780274</v>
      </c>
    </row>
    <row r="12" spans="1:23" ht="14.7" thickBot="1" x14ac:dyDescent="0.6">
      <c r="A12" s="14">
        <v>0.58511895073784725</v>
      </c>
      <c r="B12" s="31">
        <v>100.0213623046875</v>
      </c>
      <c r="C12" s="7">
        <f t="shared" si="0"/>
        <v>58.524394563088819</v>
      </c>
      <c r="D12" s="25">
        <f t="shared" si="1"/>
        <v>2.1255791464690361</v>
      </c>
      <c r="E12" s="25">
        <f t="shared" si="2"/>
        <v>0.4704600163495099</v>
      </c>
      <c r="J12" s="5">
        <f t="shared" si="10"/>
        <v>61520.843564718969</v>
      </c>
      <c r="K12" s="7">
        <f t="shared" si="3"/>
        <v>307604.21782359487</v>
      </c>
      <c r="L12" s="21">
        <f t="shared" si="4"/>
        <v>615208.43564718973</v>
      </c>
      <c r="M12" s="51">
        <f t="shared" si="5"/>
        <v>1230416.8712943795</v>
      </c>
      <c r="P12" s="24">
        <f t="shared" si="6"/>
        <v>3923.0226646305127</v>
      </c>
      <c r="Q12" s="21">
        <f t="shared" si="7"/>
        <v>19615.11332315256</v>
      </c>
      <c r="R12" s="21">
        <f t="shared" si="8"/>
        <v>39230.22664630512</v>
      </c>
      <c r="S12" s="54">
        <f t="shared" si="9"/>
        <v>78460.45329261024</v>
      </c>
    </row>
    <row r="13" spans="1:23" ht="14.7" thickBot="1" x14ac:dyDescent="0.6">
      <c r="A13" s="14">
        <v>0.61044396294487846</v>
      </c>
      <c r="B13" s="31">
        <v>109.95705922444661</v>
      </c>
      <c r="C13" s="7">
        <f t="shared" si="0"/>
        <v>67.122622986735891</v>
      </c>
      <c r="D13" s="25">
        <f t="shared" si="1"/>
        <v>2.0373969035459454</v>
      </c>
      <c r="E13" s="25">
        <f t="shared" si="2"/>
        <v>0.49082238137280498</v>
      </c>
      <c r="J13" s="5">
        <f t="shared" si="10"/>
        <v>70559.301283656765</v>
      </c>
      <c r="K13" s="7">
        <f t="shared" si="3"/>
        <v>352796.5064182838</v>
      </c>
      <c r="L13" s="21">
        <f t="shared" si="4"/>
        <v>705593.01283656759</v>
      </c>
      <c r="M13" s="6">
        <f t="shared" si="5"/>
        <v>1411186.0256731352</v>
      </c>
      <c r="P13" s="24">
        <f t="shared" si="6"/>
        <v>4312.7190585506323</v>
      </c>
      <c r="Q13" s="21">
        <f t="shared" si="7"/>
        <v>21563.595292753165</v>
      </c>
      <c r="R13" s="21">
        <f t="shared" si="8"/>
        <v>43127.190585506331</v>
      </c>
      <c r="S13" s="25">
        <f t="shared" si="9"/>
        <v>86254.381171012661</v>
      </c>
    </row>
    <row r="14" spans="1:23" ht="14.7" thickBot="1" x14ac:dyDescent="0.6">
      <c r="A14" s="14">
        <v>0.63524475097656252</v>
      </c>
      <c r="B14" s="31">
        <v>119.97222900390625</v>
      </c>
      <c r="C14" s="7">
        <f t="shared" si="0"/>
        <v>76.211728737689555</v>
      </c>
      <c r="D14" s="25">
        <f t="shared" si="1"/>
        <v>1.9578542569304889</v>
      </c>
      <c r="E14" s="25">
        <f t="shared" si="2"/>
        <v>0.51076324831644693</v>
      </c>
      <c r="J14" s="5">
        <f t="shared" si="10"/>
        <v>80113.76924905926</v>
      </c>
      <c r="K14" s="7">
        <f t="shared" si="3"/>
        <v>400568.8462452963</v>
      </c>
      <c r="L14" s="21">
        <f t="shared" si="4"/>
        <v>801137.6924905926</v>
      </c>
      <c r="M14" s="48">
        <f t="shared" si="5"/>
        <v>1602275.3849811852</v>
      </c>
      <c r="P14" s="24">
        <f t="shared" si="6"/>
        <v>4705.5325248905274</v>
      </c>
      <c r="Q14" s="21">
        <f t="shared" si="7"/>
        <v>23527.662624452634</v>
      </c>
      <c r="R14" s="21">
        <f t="shared" si="8"/>
        <v>47055.325248905268</v>
      </c>
      <c r="S14" s="48">
        <f t="shared" si="9"/>
        <v>94110.650497810537</v>
      </c>
    </row>
    <row r="15" spans="1:23" ht="14.7" thickBot="1" x14ac:dyDescent="0.6">
      <c r="A15" s="14">
        <v>0.65971221923828127</v>
      </c>
      <c r="B15" s="31">
        <v>129.98580932617188</v>
      </c>
      <c r="C15" s="7">
        <f t="shared" si="0"/>
        <v>85.753226740052924</v>
      </c>
      <c r="D15" s="25">
        <f t="shared" si="1"/>
        <v>1.885241175808801</v>
      </c>
      <c r="E15" s="25">
        <f t="shared" si="2"/>
        <v>0.53043611227671317</v>
      </c>
      <c r="J15" s="5">
        <f t="shared" si="10"/>
        <v>90143.791949143633</v>
      </c>
      <c r="K15" s="7">
        <f t="shared" si="3"/>
        <v>450718.95974571822</v>
      </c>
      <c r="L15" s="21">
        <f t="shared" si="4"/>
        <v>901437.91949143645</v>
      </c>
      <c r="M15" s="50">
        <f t="shared" si="5"/>
        <v>1802875.8389828729</v>
      </c>
      <c r="P15" s="24">
        <f t="shared" si="6"/>
        <v>5098.2836497820253</v>
      </c>
      <c r="Q15" s="21">
        <f t="shared" si="7"/>
        <v>25491.418248910129</v>
      </c>
      <c r="R15" s="21">
        <f t="shared" si="8"/>
        <v>50982.836497820259</v>
      </c>
      <c r="S15" s="50">
        <f t="shared" si="9"/>
        <v>101965.67299564052</v>
      </c>
    </row>
    <row r="16" spans="1:23" ht="14.7" thickBot="1" x14ac:dyDescent="0.6">
      <c r="A16" s="14">
        <v>0.68387332492404518</v>
      </c>
      <c r="B16" s="31">
        <v>139.9993896484375</v>
      </c>
      <c r="C16" s="7">
        <f t="shared" si="0"/>
        <v>95.741848086213906</v>
      </c>
      <c r="D16" s="25">
        <f t="shared" si="1"/>
        <v>1.8186359879299949</v>
      </c>
      <c r="E16" s="25">
        <f t="shared" si="2"/>
        <v>0.54986264796080409</v>
      </c>
      <c r="J16" s="5">
        <f t="shared" si="10"/>
        <v>100643.83070822805</v>
      </c>
      <c r="K16" s="7">
        <f t="shared" si="3"/>
        <v>503219.15354114026</v>
      </c>
      <c r="L16" s="21">
        <f t="shared" si="4"/>
        <v>1006438.3070822805</v>
      </c>
      <c r="M16" s="55">
        <f t="shared" si="5"/>
        <v>2012876.614164561</v>
      </c>
      <c r="P16" s="24">
        <f t="shared" si="6"/>
        <v>5491.0347746735251</v>
      </c>
      <c r="Q16" s="21">
        <f t="shared" si="7"/>
        <v>27455.173873367621</v>
      </c>
      <c r="R16" s="21">
        <f t="shared" si="8"/>
        <v>54910.347746735242</v>
      </c>
      <c r="S16" s="55">
        <f>B16*$B$27*$H$3*$F$6*$I$3/$B$26/$B$25/1000/1000</f>
        <v>109820.69549347048</v>
      </c>
    </row>
    <row r="17" spans="1:20" ht="14.7" thickBot="1" x14ac:dyDescent="0.6">
      <c r="A17" s="14">
        <v>0.70777604844835074</v>
      </c>
      <c r="B17" s="31">
        <v>150.01922183566623</v>
      </c>
      <c r="C17" s="7">
        <f t="shared" si="0"/>
        <v>106.18001202214438</v>
      </c>
      <c r="D17" s="25">
        <f t="shared" si="1"/>
        <v>1.7572177564058535</v>
      </c>
      <c r="E17" s="25">
        <f t="shared" si="2"/>
        <v>0.56908143362115915</v>
      </c>
      <c r="J17" s="5">
        <f t="shared" si="10"/>
        <v>111616.42863767818</v>
      </c>
      <c r="K17" s="7">
        <f t="shared" si="3"/>
        <v>558082.14318839088</v>
      </c>
      <c r="L17" s="21">
        <f t="shared" si="4"/>
        <v>1116164.2863767818</v>
      </c>
      <c r="M17" s="56">
        <f t="shared" si="5"/>
        <v>2232328.5727535635</v>
      </c>
      <c r="P17" s="24">
        <f t="shared" si="6"/>
        <v>5884.0311092620459</v>
      </c>
      <c r="Q17" s="21">
        <f t="shared" si="7"/>
        <v>29420.155546310223</v>
      </c>
      <c r="R17" s="21">
        <f t="shared" si="8"/>
        <v>58840.311092620446</v>
      </c>
      <c r="S17" s="56">
        <f t="shared" si="9"/>
        <v>117680.62218524089</v>
      </c>
    </row>
    <row r="18" spans="1:20" ht="14.7" thickBot="1" x14ac:dyDescent="0.6">
      <c r="A18" s="14">
        <v>0.73173336452907989</v>
      </c>
      <c r="B18" s="31">
        <v>160.04562377929688</v>
      </c>
      <c r="C18" s="7">
        <f t="shared" si="0"/>
        <v>117.11072276618022</v>
      </c>
      <c r="D18" s="25">
        <f t="shared" si="1"/>
        <v>1.6996855687899752</v>
      </c>
      <c r="E18" s="25">
        <f t="shared" si="2"/>
        <v>0.58834411397156883</v>
      </c>
      <c r="J18" s="5">
        <f t="shared" si="10"/>
        <v>123106.79177180865</v>
      </c>
      <c r="K18" s="7">
        <f t="shared" si="3"/>
        <v>615533.9588590432</v>
      </c>
      <c r="L18" s="21">
        <f t="shared" si="4"/>
        <v>1231067.9177180864</v>
      </c>
      <c r="M18" s="6">
        <f t="shared" si="5"/>
        <v>2462135.8354361728</v>
      </c>
      <c r="P18" s="24">
        <f t="shared" si="6"/>
        <v>6277.285121837268</v>
      </c>
      <c r="Q18" s="21">
        <f t="shared" si="7"/>
        <v>31386.425609186339</v>
      </c>
      <c r="R18" s="21">
        <f t="shared" si="8"/>
        <v>62772.851218372678</v>
      </c>
      <c r="S18" s="25">
        <f t="shared" si="9"/>
        <v>125545.70243674536</v>
      </c>
      <c r="T18" t="s">
        <v>65</v>
      </c>
    </row>
    <row r="19" spans="1:20" ht="14.7" thickBot="1" x14ac:dyDescent="0.6">
      <c r="A19" s="14">
        <v>0.75641716851128471</v>
      </c>
      <c r="B19" s="31">
        <v>170.0592041015625</v>
      </c>
      <c r="C19" s="7">
        <f t="shared" si="0"/>
        <v>128.63570164578655</v>
      </c>
      <c r="D19" s="25">
        <f t="shared" si="1"/>
        <v>1.6442205328839741</v>
      </c>
      <c r="E19" s="25">
        <f t="shared" si="2"/>
        <v>0.60819092086509419</v>
      </c>
      <c r="J19" s="5">
        <f t="shared" si="10"/>
        <v>135221.84957005081</v>
      </c>
      <c r="K19" s="7">
        <f t="shared" si="3"/>
        <v>676109.24785025418</v>
      </c>
      <c r="L19" s="21">
        <f t="shared" si="4"/>
        <v>1352218.4957005084</v>
      </c>
      <c r="M19" s="6">
        <f t="shared" si="5"/>
        <v>2704436.9914010167</v>
      </c>
      <c r="P19" s="24">
        <f t="shared" si="6"/>
        <v>6670.0362467287669</v>
      </c>
      <c r="Q19" s="21">
        <f t="shared" si="7"/>
        <v>33350.181233643831</v>
      </c>
      <c r="R19" s="21">
        <f t="shared" si="8"/>
        <v>66700.362467287661</v>
      </c>
      <c r="S19" s="25">
        <f t="shared" si="9"/>
        <v>133400.72493457532</v>
      </c>
    </row>
    <row r="20" spans="1:20" ht="14.7" thickBot="1" x14ac:dyDescent="0.6">
      <c r="A20" s="14">
        <v>0.7792205810546875</v>
      </c>
      <c r="B20" s="31">
        <v>179.9774169921875</v>
      </c>
      <c r="C20" s="7">
        <f t="shared" si="0"/>
        <v>140.24210744537413</v>
      </c>
      <c r="D20" s="25">
        <f t="shared" si="1"/>
        <v>1.5961034271050967</v>
      </c>
      <c r="E20" s="25">
        <f t="shared" si="2"/>
        <v>0.62652581469217927</v>
      </c>
      <c r="J20" s="5">
        <f t="shared" si="10"/>
        <v>147422.50334657729</v>
      </c>
      <c r="K20" s="7">
        <f t="shared" si="3"/>
        <v>737112.51673288643</v>
      </c>
      <c r="L20" s="21">
        <f t="shared" si="4"/>
        <v>1474225.0334657729</v>
      </c>
      <c r="M20" s="6">
        <f t="shared" si="5"/>
        <v>2948450.0669315457</v>
      </c>
      <c r="P20" s="24">
        <f t="shared" si="6"/>
        <v>7059.0468847165366</v>
      </c>
      <c r="Q20" s="21">
        <f t="shared" si="7"/>
        <v>35295.234423582682</v>
      </c>
      <c r="R20" s="21">
        <f t="shared" si="8"/>
        <v>70590.468847165364</v>
      </c>
      <c r="S20" s="25">
        <f t="shared" si="9"/>
        <v>141180.93769433073</v>
      </c>
    </row>
    <row r="21" spans="1:20" ht="14.7" thickBot="1" x14ac:dyDescent="0.6">
      <c r="A21" s="14">
        <v>0.80240546332465279</v>
      </c>
      <c r="B21" s="31">
        <v>189.99099731445313</v>
      </c>
      <c r="C21" s="7">
        <f t="shared" si="0"/>
        <v>152.44981422761663</v>
      </c>
      <c r="D21" s="25">
        <f t="shared" si="1"/>
        <v>1.5499852589974255</v>
      </c>
      <c r="E21" s="25">
        <f t="shared" si="2"/>
        <v>0.6451674260739928</v>
      </c>
      <c r="J21" s="5">
        <f t="shared" si="10"/>
        <v>160255.24471607059</v>
      </c>
      <c r="K21" s="7">
        <f t="shared" si="3"/>
        <v>801276.22358035308</v>
      </c>
      <c r="L21" s="21">
        <f t="shared" si="4"/>
        <v>1602552.4471607062</v>
      </c>
      <c r="M21" s="6">
        <f t="shared" si="5"/>
        <v>3205104.8943214123</v>
      </c>
      <c r="P21" s="24">
        <f t="shared" si="6"/>
        <v>7451.7980096080346</v>
      </c>
      <c r="Q21" s="21">
        <f t="shared" si="7"/>
        <v>37258.990048040163</v>
      </c>
      <c r="R21" s="21">
        <f t="shared" si="8"/>
        <v>74517.980096080326</v>
      </c>
      <c r="S21" s="25">
        <f t="shared" si="9"/>
        <v>149035.96019216065</v>
      </c>
    </row>
    <row r="22" spans="1:20" ht="14.7" thickBot="1" x14ac:dyDescent="0.6">
      <c r="A22" s="14">
        <v>0.82556491427951384</v>
      </c>
      <c r="B22" s="32">
        <v>200.042724609375</v>
      </c>
      <c r="C22" s="16">
        <f t="shared" si="0"/>
        <v>165.14825479437906</v>
      </c>
      <c r="D22" s="25">
        <f t="shared" si="1"/>
        <v>1.5065037508015058</v>
      </c>
      <c r="E22" s="25">
        <f t="shared" si="2"/>
        <v>0.66378858961882414</v>
      </c>
      <c r="J22" s="15">
        <f t="shared" si="10"/>
        <v>173603.84543985125</v>
      </c>
      <c r="K22" s="16">
        <f t="shared" si="3"/>
        <v>868019.22719925619</v>
      </c>
      <c r="L22" s="26">
        <f t="shared" si="4"/>
        <v>1736038.4543985124</v>
      </c>
      <c r="M22" s="13">
        <f t="shared" si="5"/>
        <v>3472076.9087970247</v>
      </c>
      <c r="P22" s="27">
        <f t="shared" si="6"/>
        <v>7846.0453292610255</v>
      </c>
      <c r="Q22" s="26">
        <f t="shared" si="7"/>
        <v>39230.22664630512</v>
      </c>
      <c r="R22" s="26">
        <f t="shared" si="8"/>
        <v>78460.45329261024</v>
      </c>
      <c r="S22" s="28">
        <f t="shared" si="9"/>
        <v>156920.90658522048</v>
      </c>
    </row>
    <row r="23" spans="1:20" ht="14.7" thickBot="1" x14ac:dyDescent="0.6"/>
    <row r="24" spans="1:20" ht="14.7" thickBot="1" x14ac:dyDescent="0.6">
      <c r="A24" s="258" t="s">
        <v>66</v>
      </c>
      <c r="B24" s="259"/>
      <c r="H24" s="46" t="s">
        <v>67</v>
      </c>
    </row>
    <row r="25" spans="1:20" x14ac:dyDescent="0.55000000000000004">
      <c r="A25" s="5" t="s">
        <v>68</v>
      </c>
      <c r="B25" s="6">
        <v>2</v>
      </c>
      <c r="H25" s="47" t="s">
        <v>69</v>
      </c>
    </row>
    <row r="26" spans="1:20" x14ac:dyDescent="0.55000000000000004">
      <c r="A26" s="5" t="s">
        <v>70</v>
      </c>
      <c r="B26" s="6">
        <v>96485</v>
      </c>
      <c r="H26" s="49" t="s">
        <v>71</v>
      </c>
    </row>
    <row r="27" spans="1:20" ht="14.7" thickBot="1" x14ac:dyDescent="0.6">
      <c r="A27" s="15" t="s">
        <v>72</v>
      </c>
      <c r="B27" s="13">
        <v>2</v>
      </c>
      <c r="H27" s="53" t="s">
        <v>73</v>
      </c>
    </row>
    <row r="28" spans="1:20" x14ac:dyDescent="0.55000000000000004">
      <c r="A28" t="s">
        <v>74</v>
      </c>
      <c r="B28">
        <f>120*10^6</f>
        <v>120000000</v>
      </c>
      <c r="H28" s="52" t="s">
        <v>75</v>
      </c>
    </row>
  </sheetData>
  <mergeCells count="4">
    <mergeCell ref="A1:C1"/>
    <mergeCell ref="J1:M1"/>
    <mergeCell ref="P1:S1"/>
    <mergeCell ref="A24:B24"/>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3A65D7-1315-4B16-BC0F-8B133EB243B9}">
  <dimension ref="A1:P32"/>
  <sheetViews>
    <sheetView workbookViewId="0">
      <selection activeCell="G24" sqref="G24"/>
    </sheetView>
  </sheetViews>
  <sheetFormatPr defaultRowHeight="14.4" x14ac:dyDescent="0.55000000000000004"/>
  <cols>
    <col min="1" max="1" width="22.83984375" bestFit="1" customWidth="1"/>
    <col min="7" max="7" width="15.83984375" bestFit="1" customWidth="1"/>
    <col min="9" max="9" width="11.68359375" bestFit="1" customWidth="1"/>
    <col min="10" max="10" width="21.26171875" bestFit="1" customWidth="1"/>
    <col min="11" max="11" width="19.578125" bestFit="1" customWidth="1"/>
    <col min="12" max="12" width="22.26171875" bestFit="1" customWidth="1"/>
    <col min="13" max="13" width="33.83984375" bestFit="1" customWidth="1"/>
    <col min="14" max="14" width="17" bestFit="1" customWidth="1"/>
    <col min="15" max="15" width="25.68359375" bestFit="1" customWidth="1"/>
    <col min="16" max="16" width="17" bestFit="1" customWidth="1"/>
  </cols>
  <sheetData>
    <row r="1" spans="1:16" x14ac:dyDescent="0.55000000000000004">
      <c r="A1" s="66" t="s">
        <v>76</v>
      </c>
      <c r="G1" t="s">
        <v>77</v>
      </c>
      <c r="H1" t="s">
        <v>78</v>
      </c>
      <c r="I1" t="s">
        <v>79</v>
      </c>
      <c r="J1" t="s">
        <v>80</v>
      </c>
      <c r="K1" t="s">
        <v>81</v>
      </c>
      <c r="L1" t="s">
        <v>82</v>
      </c>
      <c r="M1" t="s">
        <v>83</v>
      </c>
      <c r="N1" t="s">
        <v>84</v>
      </c>
      <c r="O1" t="s">
        <v>85</v>
      </c>
      <c r="P1" t="s">
        <v>86</v>
      </c>
    </row>
    <row r="2" spans="1:16" x14ac:dyDescent="0.55000000000000004">
      <c r="A2" t="s">
        <v>77</v>
      </c>
      <c r="B2">
        <f>'produzione di energia'!D3</f>
        <v>17.010000000000002</v>
      </c>
      <c r="G2">
        <f>B2+B7+B15+B19+B23+B27</f>
        <v>49.892676142509643</v>
      </c>
      <c r="H2" s="45">
        <v>0</v>
      </c>
      <c r="I2">
        <f>$B$3+$B$8+$B$16+$B$20+$B$24+$B$28</f>
        <v>1.6071757363586432</v>
      </c>
      <c r="J2">
        <f>$B$12</f>
        <v>2.2582559999999998</v>
      </c>
      <c r="M2">
        <f>'output H2'!$J$3</f>
        <v>930600</v>
      </c>
      <c r="N2">
        <f>G2+I2+J2+K2+L2</f>
        <v>53.758107878868287</v>
      </c>
      <c r="O2">
        <f>M2</f>
        <v>930600</v>
      </c>
      <c r="P2">
        <f>((N2)*10^6)/(M2)</f>
        <v>57.767147946344608</v>
      </c>
    </row>
    <row r="3" spans="1:16" x14ac:dyDescent="0.55000000000000004">
      <c r="A3" t="s">
        <v>87</v>
      </c>
      <c r="B3">
        <f>'produzione di energia'!D4</f>
        <v>0.504</v>
      </c>
      <c r="H3" s="45">
        <v>1</v>
      </c>
      <c r="I3">
        <f t="shared" ref="I3:I32" si="0">$B$3+$B$8+$B$16+$B$20+$B$24+$B$28</f>
        <v>1.6071757363586432</v>
      </c>
      <c r="J3">
        <f t="shared" ref="J3:J32" si="1">$B$12</f>
        <v>2.2582559999999998</v>
      </c>
      <c r="M3">
        <f>'output H2'!$J$3</f>
        <v>930600</v>
      </c>
      <c r="N3">
        <f>N2+I3+J3+K3+L3</f>
        <v>57.623539615226932</v>
      </c>
      <c r="O3">
        <f>M3+O2</f>
        <v>1861200</v>
      </c>
      <c r="P3">
        <f>(N3*10^6)/O3</f>
        <v>30.960423176029945</v>
      </c>
    </row>
    <row r="4" spans="1:16" x14ac:dyDescent="0.55000000000000004">
      <c r="A4" t="s">
        <v>88</v>
      </c>
      <c r="B4">
        <f>'produzione di energia'!D5</f>
        <v>0</v>
      </c>
      <c r="H4" s="45">
        <v>2</v>
      </c>
      <c r="I4">
        <f t="shared" si="0"/>
        <v>1.6071757363586432</v>
      </c>
      <c r="J4">
        <f t="shared" si="1"/>
        <v>2.2582559999999998</v>
      </c>
      <c r="M4">
        <f>'output H2'!$J$3</f>
        <v>930600</v>
      </c>
      <c r="N4">
        <f t="shared" ref="N4:N32" si="2">N3+I4+J4+K4+L4</f>
        <v>61.488971351585576</v>
      </c>
      <c r="O4">
        <f>M4+O3</f>
        <v>2791800</v>
      </c>
      <c r="P4">
        <f>(N4*10^6)/O4</f>
        <v>22.024848252591724</v>
      </c>
    </row>
    <row r="5" spans="1:16" x14ac:dyDescent="0.55000000000000004">
      <c r="H5" s="45">
        <v>3</v>
      </c>
      <c r="I5">
        <f t="shared" si="0"/>
        <v>1.6071757363586432</v>
      </c>
      <c r="J5">
        <f t="shared" si="1"/>
        <v>2.2582559999999998</v>
      </c>
      <c r="M5">
        <f>'output H2'!$J$3</f>
        <v>930600</v>
      </c>
      <c r="N5">
        <f t="shared" si="2"/>
        <v>65.35440308794422</v>
      </c>
      <c r="O5">
        <f t="shared" ref="O5:O32" si="3">M5+O4</f>
        <v>3722400</v>
      </c>
      <c r="P5">
        <f t="shared" ref="P5:P32" si="4">(N5*10^6)/O5</f>
        <v>17.557060790872615</v>
      </c>
    </row>
    <row r="6" spans="1:16" x14ac:dyDescent="0.55000000000000004">
      <c r="A6" s="66" t="s">
        <v>89</v>
      </c>
      <c r="H6" s="45">
        <v>4</v>
      </c>
      <c r="I6">
        <f t="shared" si="0"/>
        <v>1.6071757363586432</v>
      </c>
      <c r="J6">
        <f t="shared" si="1"/>
        <v>2.2582559999999998</v>
      </c>
      <c r="M6">
        <f>'output H2'!$J$3</f>
        <v>930600</v>
      </c>
      <c r="N6">
        <f t="shared" si="2"/>
        <v>69.219834824302865</v>
      </c>
      <c r="O6">
        <f t="shared" si="3"/>
        <v>4653000</v>
      </c>
      <c r="P6">
        <f t="shared" si="4"/>
        <v>14.876388313841149</v>
      </c>
    </row>
    <row r="7" spans="1:16" x14ac:dyDescent="0.55000000000000004">
      <c r="A7" t="s">
        <v>77</v>
      </c>
      <c r="B7">
        <f>'produzione di energia'!I3</f>
        <v>1.2946821699069053</v>
      </c>
      <c r="H7" s="45">
        <v>5</v>
      </c>
      <c r="I7">
        <f t="shared" si="0"/>
        <v>1.6071757363586432</v>
      </c>
      <c r="J7">
        <f t="shared" si="1"/>
        <v>2.2582559999999998</v>
      </c>
      <c r="M7">
        <f>'output H2'!$J$3</f>
        <v>930600</v>
      </c>
      <c r="N7">
        <f t="shared" si="2"/>
        <v>73.085266560661509</v>
      </c>
      <c r="O7">
        <f t="shared" si="3"/>
        <v>5583600</v>
      </c>
      <c r="P7">
        <f t="shared" si="4"/>
        <v>13.089273329153505</v>
      </c>
    </row>
    <row r="8" spans="1:16" x14ac:dyDescent="0.55000000000000004">
      <c r="A8" t="s">
        <v>87</v>
      </c>
      <c r="B8">
        <f>'produzione di energia'!I4</f>
        <v>1.6492766495629366E-2</v>
      </c>
      <c r="H8" s="45">
        <v>6</v>
      </c>
      <c r="I8">
        <f t="shared" si="0"/>
        <v>1.6071757363586432</v>
      </c>
      <c r="J8">
        <f t="shared" si="1"/>
        <v>2.2582559999999998</v>
      </c>
      <c r="M8">
        <f>'output H2'!$J$3</f>
        <v>930600</v>
      </c>
      <c r="N8">
        <f t="shared" si="2"/>
        <v>76.950698297020153</v>
      </c>
      <c r="O8">
        <f t="shared" si="3"/>
        <v>6514200</v>
      </c>
      <c r="P8">
        <f t="shared" si="4"/>
        <v>11.812762625805188</v>
      </c>
    </row>
    <row r="9" spans="1:16" x14ac:dyDescent="0.55000000000000004">
      <c r="A9" t="s">
        <v>88</v>
      </c>
      <c r="H9" s="45">
        <v>7</v>
      </c>
      <c r="I9">
        <f t="shared" si="0"/>
        <v>1.6071757363586432</v>
      </c>
      <c r="J9">
        <f t="shared" si="1"/>
        <v>2.2582559999999998</v>
      </c>
      <c r="M9">
        <f>'output H2'!$J$3</f>
        <v>930600</v>
      </c>
      <c r="N9">
        <f t="shared" si="2"/>
        <v>80.816130033378798</v>
      </c>
      <c r="O9">
        <f t="shared" si="3"/>
        <v>7444800</v>
      </c>
      <c r="P9">
        <f t="shared" si="4"/>
        <v>10.855379598293949</v>
      </c>
    </row>
    <row r="10" spans="1:16" x14ac:dyDescent="0.55000000000000004">
      <c r="H10" s="45">
        <v>8</v>
      </c>
      <c r="I10">
        <f t="shared" si="0"/>
        <v>1.6071757363586432</v>
      </c>
      <c r="J10">
        <f t="shared" si="1"/>
        <v>2.2582559999999998</v>
      </c>
      <c r="M10">
        <f>'output H2'!$J$3</f>
        <v>930600</v>
      </c>
      <c r="N10">
        <f t="shared" si="2"/>
        <v>84.681561769737442</v>
      </c>
      <c r="O10">
        <f t="shared" si="3"/>
        <v>8375400</v>
      </c>
      <c r="P10">
        <f t="shared" si="4"/>
        <v>10.110748354674097</v>
      </c>
    </row>
    <row r="11" spans="1:16" x14ac:dyDescent="0.55000000000000004">
      <c r="A11" s="66" t="s">
        <v>90</v>
      </c>
      <c r="H11" s="45">
        <v>9</v>
      </c>
      <c r="I11">
        <f t="shared" si="0"/>
        <v>1.6071757363586432</v>
      </c>
      <c r="J11">
        <f t="shared" si="1"/>
        <v>2.2582559999999998</v>
      </c>
      <c r="M11">
        <f>'output H2'!$J$3</f>
        <v>930600</v>
      </c>
      <c r="N11">
        <f t="shared" si="2"/>
        <v>88.546993506096086</v>
      </c>
      <c r="O11">
        <f t="shared" si="3"/>
        <v>9306000</v>
      </c>
      <c r="P11">
        <f t="shared" si="4"/>
        <v>9.5150433597782165</v>
      </c>
    </row>
    <row r="12" spans="1:16" x14ac:dyDescent="0.55000000000000004">
      <c r="A12" t="s">
        <v>91</v>
      </c>
      <c r="B12">
        <f>'output H2'!B12*'output H2'!B13/10^6</f>
        <v>2.2582559999999998</v>
      </c>
      <c r="H12" s="45">
        <v>10</v>
      </c>
      <c r="I12">
        <f t="shared" si="0"/>
        <v>1.6071757363586432</v>
      </c>
      <c r="J12">
        <f t="shared" si="1"/>
        <v>2.2582559999999998</v>
      </c>
      <c r="L12">
        <f>B30</f>
        <v>1</v>
      </c>
      <c r="M12">
        <f>'output H2'!$J$3</f>
        <v>930600</v>
      </c>
      <c r="N12">
        <f t="shared" si="2"/>
        <v>93.412425242454731</v>
      </c>
      <c r="O12">
        <f t="shared" si="3"/>
        <v>10236600</v>
      </c>
      <c r="P12">
        <f t="shared" si="4"/>
        <v>9.1253370496507369</v>
      </c>
    </row>
    <row r="13" spans="1:16" x14ac:dyDescent="0.55000000000000004">
      <c r="H13" s="45">
        <v>11</v>
      </c>
      <c r="I13">
        <f t="shared" si="0"/>
        <v>1.6071757363586432</v>
      </c>
      <c r="J13">
        <f t="shared" si="1"/>
        <v>2.2582559999999998</v>
      </c>
      <c r="M13">
        <f>'output H2'!$J$3</f>
        <v>930600</v>
      </c>
      <c r="N13">
        <f t="shared" si="2"/>
        <v>97.277856978813375</v>
      </c>
      <c r="O13">
        <f t="shared" si="3"/>
        <v>11167200</v>
      </c>
      <c r="P13">
        <f t="shared" si="4"/>
        <v>8.7110338293227834</v>
      </c>
    </row>
    <row r="14" spans="1:16" x14ac:dyDescent="0.55000000000000004">
      <c r="A14" s="66" t="s">
        <v>92</v>
      </c>
      <c r="H14" s="45">
        <v>12</v>
      </c>
      <c r="I14">
        <f t="shared" si="0"/>
        <v>1.6071757363586432</v>
      </c>
      <c r="J14">
        <f t="shared" si="1"/>
        <v>2.2582559999999998</v>
      </c>
      <c r="M14">
        <f>'output H2'!$J$3</f>
        <v>930600</v>
      </c>
      <c r="N14">
        <f t="shared" si="2"/>
        <v>101.14328871517202</v>
      </c>
      <c r="O14">
        <f t="shared" si="3"/>
        <v>12097800</v>
      </c>
      <c r="P14">
        <f t="shared" si="4"/>
        <v>8.3604695659683603</v>
      </c>
    </row>
    <row r="15" spans="1:16" x14ac:dyDescent="0.55000000000000004">
      <c r="A15" t="s">
        <v>93</v>
      </c>
      <c r="B15">
        <f>'output H2'!B15*'output H2'!B14</f>
        <v>0.20471999999999999</v>
      </c>
      <c r="H15" s="45">
        <v>13</v>
      </c>
      <c r="I15">
        <f t="shared" si="0"/>
        <v>1.6071757363586432</v>
      </c>
      <c r="J15">
        <f t="shared" si="1"/>
        <v>2.2582559999999998</v>
      </c>
      <c r="M15">
        <f>'output H2'!$J$3</f>
        <v>930600</v>
      </c>
      <c r="N15">
        <f t="shared" si="2"/>
        <v>105.00872045153066</v>
      </c>
      <c r="O15">
        <f t="shared" si="3"/>
        <v>13028400</v>
      </c>
      <c r="P15">
        <f t="shared" si="4"/>
        <v>8.0599859116645689</v>
      </c>
    </row>
    <row r="16" spans="1:16" x14ac:dyDescent="0.55000000000000004">
      <c r="A16" t="s">
        <v>94</v>
      </c>
      <c r="B16">
        <f>0.03*B15</f>
        <v>6.1415999999999997E-3</v>
      </c>
      <c r="C16" t="s">
        <v>95</v>
      </c>
      <c r="H16" s="45">
        <v>14</v>
      </c>
      <c r="I16">
        <f t="shared" si="0"/>
        <v>1.6071757363586432</v>
      </c>
      <c r="J16">
        <f t="shared" si="1"/>
        <v>2.2582559999999998</v>
      </c>
      <c r="M16">
        <f>'output H2'!$J$3</f>
        <v>930600</v>
      </c>
      <c r="N16">
        <f t="shared" si="2"/>
        <v>108.87415218788931</v>
      </c>
      <c r="O16">
        <f t="shared" si="3"/>
        <v>13959000</v>
      </c>
      <c r="P16">
        <f t="shared" si="4"/>
        <v>7.7995667446012833</v>
      </c>
    </row>
    <row r="17" spans="1:16" x14ac:dyDescent="0.55000000000000004">
      <c r="H17" s="45">
        <v>15</v>
      </c>
      <c r="I17">
        <f t="shared" si="0"/>
        <v>1.6071757363586432</v>
      </c>
      <c r="J17">
        <f t="shared" si="1"/>
        <v>2.2582559999999998</v>
      </c>
      <c r="M17">
        <f>'output H2'!$J$3</f>
        <v>930600</v>
      </c>
      <c r="N17">
        <f t="shared" si="2"/>
        <v>112.73958392424795</v>
      </c>
      <c r="O17">
        <f t="shared" si="3"/>
        <v>14889600</v>
      </c>
      <c r="P17">
        <f t="shared" si="4"/>
        <v>7.5716999734209081</v>
      </c>
    </row>
    <row r="18" spans="1:16" x14ac:dyDescent="0.55000000000000004">
      <c r="A18" s="66" t="s">
        <v>96</v>
      </c>
      <c r="H18" s="45">
        <v>16</v>
      </c>
      <c r="I18">
        <f t="shared" si="0"/>
        <v>1.6071757363586432</v>
      </c>
      <c r="J18">
        <f t="shared" si="1"/>
        <v>2.2582559999999998</v>
      </c>
      <c r="M18">
        <f>'output H2'!$J$3</f>
        <v>930600</v>
      </c>
      <c r="N18">
        <f t="shared" si="2"/>
        <v>116.6050156606066</v>
      </c>
      <c r="O18">
        <f t="shared" si="3"/>
        <v>15820200</v>
      </c>
      <c r="P18">
        <f t="shared" si="4"/>
        <v>7.3706410576735184</v>
      </c>
    </row>
    <row r="19" spans="1:16" x14ac:dyDescent="0.55000000000000004">
      <c r="A19" t="s">
        <v>93</v>
      </c>
      <c r="B19">
        <f>'output H2'!G15+'output H2'!K17</f>
        <v>11.383273972602741</v>
      </c>
      <c r="H19" s="45">
        <v>17</v>
      </c>
      <c r="I19">
        <f t="shared" si="0"/>
        <v>1.6071757363586432</v>
      </c>
      <c r="J19">
        <f t="shared" si="1"/>
        <v>2.2582559999999998</v>
      </c>
      <c r="M19">
        <f>'output H2'!$J$3</f>
        <v>930600</v>
      </c>
      <c r="N19">
        <f t="shared" si="2"/>
        <v>120.47044739696524</v>
      </c>
      <c r="O19">
        <f t="shared" si="3"/>
        <v>16750800</v>
      </c>
      <c r="P19">
        <f t="shared" si="4"/>
        <v>7.1919220214536166</v>
      </c>
    </row>
    <row r="20" spans="1:16" x14ac:dyDescent="0.55000000000000004">
      <c r="A20" t="s">
        <v>94</v>
      </c>
      <c r="B20">
        <f>'output H2'!G16*'output H2'!G14/10^6+'output H2'!K18</f>
        <v>8.0541369863013718E-2</v>
      </c>
      <c r="C20" t="s">
        <v>97</v>
      </c>
      <c r="H20" s="45">
        <v>18</v>
      </c>
      <c r="I20">
        <f t="shared" si="0"/>
        <v>1.6071757363586432</v>
      </c>
      <c r="J20">
        <f t="shared" si="1"/>
        <v>2.2582559999999998</v>
      </c>
      <c r="M20">
        <f>'output H2'!$J$3</f>
        <v>930600</v>
      </c>
      <c r="N20">
        <f t="shared" si="2"/>
        <v>124.33587913332389</v>
      </c>
      <c r="O20">
        <f t="shared" si="3"/>
        <v>17681400</v>
      </c>
      <c r="P20">
        <f t="shared" si="4"/>
        <v>7.0320155153621258</v>
      </c>
    </row>
    <row r="21" spans="1:16" x14ac:dyDescent="0.55000000000000004">
      <c r="H21" s="45">
        <v>19</v>
      </c>
      <c r="I21">
        <f t="shared" si="0"/>
        <v>1.6071757363586432</v>
      </c>
      <c r="J21">
        <f t="shared" si="1"/>
        <v>2.2582559999999998</v>
      </c>
      <c r="M21">
        <f>'output H2'!$J$3</f>
        <v>930600</v>
      </c>
      <c r="N21">
        <f t="shared" si="2"/>
        <v>128.20131086968252</v>
      </c>
      <c r="O21">
        <f t="shared" si="3"/>
        <v>18612000</v>
      </c>
      <c r="P21">
        <f t="shared" si="4"/>
        <v>6.8880996598797832</v>
      </c>
    </row>
    <row r="22" spans="1:16" x14ac:dyDescent="0.55000000000000004">
      <c r="A22" s="66" t="s">
        <v>98</v>
      </c>
      <c r="H22" s="45">
        <v>20</v>
      </c>
      <c r="I22">
        <f t="shared" si="0"/>
        <v>1.6071757363586432</v>
      </c>
      <c r="J22">
        <f t="shared" si="1"/>
        <v>2.2582559999999998</v>
      </c>
      <c r="M22">
        <f>'output H2'!$J$3</f>
        <v>930600</v>
      </c>
      <c r="N22">
        <f t="shared" si="2"/>
        <v>132.06674260604115</v>
      </c>
      <c r="O22">
        <f t="shared" si="3"/>
        <v>19542600</v>
      </c>
      <c r="P22">
        <f t="shared" si="4"/>
        <v>6.7578900763481391</v>
      </c>
    </row>
    <row r="23" spans="1:16" x14ac:dyDescent="0.55000000000000004">
      <c r="A23" t="s">
        <v>93</v>
      </c>
      <c r="H23" s="45">
        <v>21</v>
      </c>
      <c r="I23">
        <f t="shared" si="0"/>
        <v>1.6071757363586432</v>
      </c>
      <c r="J23">
        <f t="shared" si="1"/>
        <v>2.2582559999999998</v>
      </c>
      <c r="L23">
        <f>B30</f>
        <v>1</v>
      </c>
      <c r="M23">
        <f>'output H2'!$J$3</f>
        <v>930600</v>
      </c>
      <c r="N23">
        <f t="shared" si="2"/>
        <v>136.93217434239978</v>
      </c>
      <c r="O23">
        <f t="shared" si="3"/>
        <v>20473200</v>
      </c>
      <c r="P23">
        <f t="shared" si="4"/>
        <v>6.6883620705312206</v>
      </c>
    </row>
    <row r="24" spans="1:16" x14ac:dyDescent="0.55000000000000004">
      <c r="A24" t="s">
        <v>94</v>
      </c>
      <c r="H24" s="45">
        <v>22</v>
      </c>
      <c r="I24">
        <f t="shared" si="0"/>
        <v>1.6071757363586432</v>
      </c>
      <c r="J24">
        <f t="shared" si="1"/>
        <v>2.2582559999999998</v>
      </c>
      <c r="M24">
        <f>'output H2'!$J$3</f>
        <v>930600</v>
      </c>
      <c r="N24">
        <f t="shared" si="2"/>
        <v>140.79760607875841</v>
      </c>
      <c r="O24">
        <f t="shared" si="3"/>
        <v>21403800</v>
      </c>
      <c r="P24">
        <f t="shared" si="4"/>
        <v>6.5781593024957443</v>
      </c>
    </row>
    <row r="25" spans="1:16" x14ac:dyDescent="0.55000000000000004">
      <c r="H25" s="45">
        <v>23</v>
      </c>
      <c r="I25">
        <f t="shared" si="0"/>
        <v>1.6071757363586432</v>
      </c>
      <c r="J25">
        <f t="shared" si="1"/>
        <v>2.2582559999999998</v>
      </c>
      <c r="M25">
        <f>'output H2'!$J$3</f>
        <v>930600</v>
      </c>
      <c r="N25">
        <f t="shared" si="2"/>
        <v>144.66303781511704</v>
      </c>
      <c r="O25">
        <f t="shared" si="3"/>
        <v>22334400</v>
      </c>
      <c r="P25">
        <f t="shared" si="4"/>
        <v>6.4771400984632237</v>
      </c>
    </row>
    <row r="26" spans="1:16" x14ac:dyDescent="0.55000000000000004">
      <c r="A26" s="66" t="s">
        <v>99</v>
      </c>
      <c r="H26" s="45">
        <v>24</v>
      </c>
      <c r="I26">
        <f t="shared" si="0"/>
        <v>1.6071757363586432</v>
      </c>
      <c r="J26">
        <f t="shared" si="1"/>
        <v>2.2582559999999998</v>
      </c>
      <c r="M26">
        <f>'output H2'!$J$3</f>
        <v>930600</v>
      </c>
      <c r="N26">
        <f t="shared" si="2"/>
        <v>148.52846955147567</v>
      </c>
      <c r="O26">
        <f t="shared" si="3"/>
        <v>23265000</v>
      </c>
      <c r="P26">
        <f t="shared" si="4"/>
        <v>6.3842024307533061</v>
      </c>
    </row>
    <row r="27" spans="1:16" x14ac:dyDescent="0.55000000000000004">
      <c r="A27" t="s">
        <v>77</v>
      </c>
      <c r="B27">
        <v>20</v>
      </c>
      <c r="H27" s="45">
        <v>25</v>
      </c>
      <c r="I27">
        <f t="shared" si="0"/>
        <v>1.6071757363586432</v>
      </c>
      <c r="J27">
        <f t="shared" si="1"/>
        <v>2.2582559999999998</v>
      </c>
      <c r="M27">
        <f>'output H2'!$J$3</f>
        <v>930600</v>
      </c>
      <c r="N27">
        <f t="shared" si="2"/>
        <v>152.3939012878343</v>
      </c>
      <c r="O27">
        <f t="shared" si="3"/>
        <v>24195600</v>
      </c>
      <c r="P27">
        <f t="shared" si="4"/>
        <v>6.2984138144056887</v>
      </c>
    </row>
    <row r="28" spans="1:16" x14ac:dyDescent="0.55000000000000004">
      <c r="A28" t="s">
        <v>87</v>
      </c>
      <c r="B28">
        <v>1</v>
      </c>
      <c r="H28" s="45">
        <v>26</v>
      </c>
      <c r="I28">
        <f t="shared" si="0"/>
        <v>1.6071757363586432</v>
      </c>
      <c r="J28">
        <f t="shared" si="1"/>
        <v>2.2582559999999998</v>
      </c>
      <c r="M28">
        <f>'output H2'!$J$3</f>
        <v>930600</v>
      </c>
      <c r="N28">
        <f t="shared" si="2"/>
        <v>156.25933302419293</v>
      </c>
      <c r="O28">
        <f t="shared" si="3"/>
        <v>25126200</v>
      </c>
      <c r="P28">
        <f t="shared" si="4"/>
        <v>6.218979910380118</v>
      </c>
    </row>
    <row r="29" spans="1:16" x14ac:dyDescent="0.55000000000000004">
      <c r="A29" t="s">
        <v>81</v>
      </c>
      <c r="H29" s="45">
        <v>27</v>
      </c>
      <c r="I29">
        <f t="shared" si="0"/>
        <v>1.6071757363586432</v>
      </c>
      <c r="J29">
        <f t="shared" si="1"/>
        <v>2.2582559999999998</v>
      </c>
      <c r="M29">
        <f>'output H2'!$J$3</f>
        <v>930600</v>
      </c>
      <c r="N29">
        <f t="shared" si="2"/>
        <v>160.12476476055156</v>
      </c>
      <c r="O29">
        <f t="shared" si="3"/>
        <v>26056800</v>
      </c>
      <c r="P29">
        <f t="shared" si="4"/>
        <v>6.145219856642087</v>
      </c>
    </row>
    <row r="30" spans="1:16" x14ac:dyDescent="0.55000000000000004">
      <c r="A30" t="s">
        <v>100</v>
      </c>
      <c r="B30">
        <v>1</v>
      </c>
      <c r="H30" s="45">
        <v>28</v>
      </c>
      <c r="I30">
        <f t="shared" si="0"/>
        <v>1.6071757363586432</v>
      </c>
      <c r="J30">
        <f t="shared" si="1"/>
        <v>2.2582559999999998</v>
      </c>
      <c r="M30">
        <f>'output H2'!$J$3</f>
        <v>930600</v>
      </c>
      <c r="N30">
        <f t="shared" si="2"/>
        <v>163.99019649691019</v>
      </c>
      <c r="O30">
        <f t="shared" si="3"/>
        <v>26987400</v>
      </c>
      <c r="P30">
        <f t="shared" si="4"/>
        <v>6.0765467031618527</v>
      </c>
    </row>
    <row r="31" spans="1:16" x14ac:dyDescent="0.55000000000000004">
      <c r="H31" s="45">
        <v>29</v>
      </c>
      <c r="I31">
        <f t="shared" si="0"/>
        <v>1.6071757363586432</v>
      </c>
      <c r="J31">
        <f t="shared" si="1"/>
        <v>2.2582559999999998</v>
      </c>
      <c r="M31">
        <f>'output H2'!$J$3</f>
        <v>930600</v>
      </c>
      <c r="N31">
        <f t="shared" si="2"/>
        <v>167.85562823326882</v>
      </c>
      <c r="O31">
        <f t="shared" si="3"/>
        <v>27918000</v>
      </c>
      <c r="P31">
        <f t="shared" si="4"/>
        <v>6.0124517599136338</v>
      </c>
    </row>
    <row r="32" spans="1:16" x14ac:dyDescent="0.55000000000000004">
      <c r="H32" s="45">
        <v>30</v>
      </c>
      <c r="I32">
        <f t="shared" si="0"/>
        <v>1.6071757363586432</v>
      </c>
      <c r="J32">
        <f t="shared" si="1"/>
        <v>2.2582559999999998</v>
      </c>
      <c r="K32">
        <f>B4+B9+B17+B21+B25+B29</f>
        <v>0</v>
      </c>
      <c r="M32">
        <f>'output H2'!$J$3</f>
        <v>930600</v>
      </c>
      <c r="N32">
        <f t="shared" si="2"/>
        <v>171.72105996962745</v>
      </c>
      <c r="O32">
        <f t="shared" si="3"/>
        <v>28848600</v>
      </c>
      <c r="P32">
        <f t="shared" si="4"/>
        <v>5.9524919742943307</v>
      </c>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1C8401-839B-4A04-8C0B-4843E8BD301B}">
  <dimension ref="A1:T23"/>
  <sheetViews>
    <sheetView topLeftCell="F1" zoomScale="108" workbookViewId="0">
      <selection activeCell="S5" sqref="S5:T5"/>
    </sheetView>
  </sheetViews>
  <sheetFormatPr defaultRowHeight="14.4" x14ac:dyDescent="0.55000000000000004"/>
  <cols>
    <col min="1" max="1" width="23" customWidth="1"/>
    <col min="2" max="2" width="9.68359375" bestFit="1" customWidth="1"/>
    <col min="3" max="3" width="21.15625" customWidth="1"/>
    <col min="6" max="6" width="16.83984375" bestFit="1" customWidth="1"/>
    <col min="8" max="8" width="16" bestFit="1" customWidth="1"/>
    <col min="9" max="9" width="11.83984375" customWidth="1"/>
    <col min="10" max="10" width="9.83984375" customWidth="1"/>
    <col min="13" max="13" width="16.41796875" bestFit="1" customWidth="1"/>
  </cols>
  <sheetData>
    <row r="1" spans="1:20" ht="62.1" customHeight="1" x14ac:dyDescent="0.55000000000000004">
      <c r="A1" s="266" t="s">
        <v>76</v>
      </c>
      <c r="B1" s="267"/>
      <c r="C1" s="267"/>
      <c r="D1" s="268"/>
      <c r="F1" s="266" t="s">
        <v>89</v>
      </c>
      <c r="G1" s="267"/>
      <c r="H1" s="267"/>
      <c r="I1" s="268"/>
      <c r="J1" s="260" t="s">
        <v>101</v>
      </c>
      <c r="K1" s="262"/>
      <c r="L1" s="279" t="s">
        <v>102</v>
      </c>
      <c r="M1" s="272" t="s">
        <v>103</v>
      </c>
      <c r="N1" s="260" t="s">
        <v>104</v>
      </c>
      <c r="O1" s="262"/>
      <c r="P1" s="260" t="s">
        <v>105</v>
      </c>
      <c r="Q1" s="261"/>
      <c r="R1" s="262"/>
      <c r="S1" s="281" t="s">
        <v>106</v>
      </c>
      <c r="T1" s="276"/>
    </row>
    <row r="2" spans="1:20" ht="12.4" customHeight="1" thickBot="1" x14ac:dyDescent="0.6">
      <c r="A2" s="269"/>
      <c r="B2" s="270"/>
      <c r="C2" s="270"/>
      <c r="D2" s="271"/>
      <c r="F2" s="269"/>
      <c r="G2" s="270"/>
      <c r="H2" s="270"/>
      <c r="I2" s="271"/>
      <c r="J2" s="263"/>
      <c r="K2" s="265"/>
      <c r="L2" s="280"/>
      <c r="M2" s="273"/>
      <c r="N2" s="263"/>
      <c r="O2" s="265"/>
      <c r="P2" s="263"/>
      <c r="Q2" s="264"/>
      <c r="R2" s="265"/>
      <c r="S2" s="281"/>
      <c r="T2" s="276"/>
    </row>
    <row r="3" spans="1:20" ht="14.7" thickBot="1" x14ac:dyDescent="0.6">
      <c r="A3" t="s">
        <v>107</v>
      </c>
      <c r="B3">
        <v>1350</v>
      </c>
      <c r="C3" s="21" t="s">
        <v>77</v>
      </c>
      <c r="D3">
        <f>B6*1000*B3/10^6</f>
        <v>17.010000000000002</v>
      </c>
      <c r="F3" t="s">
        <v>107</v>
      </c>
      <c r="G3">
        <v>785</v>
      </c>
      <c r="H3" t="s">
        <v>77</v>
      </c>
      <c r="I3">
        <f>G6*G3/10^6</f>
        <v>1.2946821699069053</v>
      </c>
      <c r="J3" s="277">
        <f>'output H2'!J3</f>
        <v>930600</v>
      </c>
      <c r="K3" s="277"/>
      <c r="L3" s="46" t="s">
        <v>67</v>
      </c>
      <c r="M3">
        <f>'caratteristiche cella '!M16</f>
        <v>2012876.614164561</v>
      </c>
      <c r="N3" s="275">
        <f>'caratteristiche cella '!S16</f>
        <v>109820.69549347048</v>
      </c>
      <c r="O3" s="275"/>
      <c r="P3" s="274">
        <f>_xlfn.CEILING.MATH($J$3/N3)</f>
        <v>9</v>
      </c>
      <c r="Q3" s="274"/>
      <c r="R3" s="274"/>
      <c r="S3" s="275">
        <f>P3*M3/1000</f>
        <v>18115.889527481049</v>
      </c>
      <c r="T3" s="275"/>
    </row>
    <row r="4" spans="1:20" ht="14.7" thickBot="1" x14ac:dyDescent="0.6">
      <c r="A4" t="s">
        <v>108</v>
      </c>
      <c r="B4">
        <v>40</v>
      </c>
      <c r="C4" s="7" t="s">
        <v>109</v>
      </c>
      <c r="D4">
        <f>B4*B6*1000/10^6</f>
        <v>0.504</v>
      </c>
      <c r="F4" t="s">
        <v>108</v>
      </c>
      <c r="G4">
        <v>10</v>
      </c>
      <c r="H4" t="s">
        <v>109</v>
      </c>
      <c r="I4">
        <f>G6*G4/10^6</f>
        <v>1.6492766495629366E-2</v>
      </c>
      <c r="J4" s="277"/>
      <c r="K4" s="277"/>
      <c r="L4" s="47" t="s">
        <v>69</v>
      </c>
      <c r="M4">
        <f>'caratteristiche cella '!M17</f>
        <v>2232328.5727535635</v>
      </c>
      <c r="N4" s="275">
        <f>'caratteristiche cella '!S17</f>
        <v>117680.62218524089</v>
      </c>
      <c r="O4" s="275"/>
      <c r="P4" s="274">
        <f t="shared" ref="P4:P8" si="0">_xlfn.CEILING.MATH($J$3/N4)</f>
        <v>8</v>
      </c>
      <c r="Q4" s="274"/>
      <c r="R4" s="274"/>
      <c r="S4" s="275">
        <f t="shared" ref="S4:S5" si="1">P4*M4/1000</f>
        <v>17858.628582028508</v>
      </c>
      <c r="T4" s="275"/>
    </row>
    <row r="5" spans="1:20" ht="14.7" thickBot="1" x14ac:dyDescent="0.6">
      <c r="A5" t="s">
        <v>110</v>
      </c>
      <c r="C5" s="7" t="s">
        <v>111</v>
      </c>
      <c r="F5" t="s">
        <v>110</v>
      </c>
      <c r="H5" t="s">
        <v>111</v>
      </c>
      <c r="J5" s="277"/>
      <c r="K5" s="277"/>
      <c r="L5" s="49" t="s">
        <v>71</v>
      </c>
      <c r="M5">
        <f>'caratteristiche cella '!M14</f>
        <v>1602275.3849811852</v>
      </c>
      <c r="N5" s="275">
        <f>'caratteristiche cella '!S14</f>
        <v>94110.650497810537</v>
      </c>
      <c r="O5" s="275"/>
      <c r="P5" s="274">
        <f t="shared" si="0"/>
        <v>10</v>
      </c>
      <c r="Q5" s="274"/>
      <c r="R5" s="274"/>
      <c r="S5" s="275">
        <f t="shared" si="1"/>
        <v>16022.753849811852</v>
      </c>
      <c r="T5" s="275"/>
    </row>
    <row r="6" spans="1:20" ht="14.7" thickBot="1" x14ac:dyDescent="0.6">
      <c r="A6" t="s">
        <v>112</v>
      </c>
      <c r="B6">
        <f>7*1.8</f>
        <v>12.6</v>
      </c>
      <c r="C6" s="278" t="s">
        <v>113</v>
      </c>
      <c r="D6" s="277">
        <f>D3+D4+D5</f>
        <v>17.514000000000003</v>
      </c>
      <c r="F6" t="s">
        <v>114</v>
      </c>
      <c r="G6">
        <f>G9/G8*1000</f>
        <v>1649.2766495629367</v>
      </c>
      <c r="H6" s="276" t="s">
        <v>113</v>
      </c>
      <c r="I6" s="277">
        <f>I3+I4+I5</f>
        <v>1.3111749364025347</v>
      </c>
      <c r="L6" s="53" t="s">
        <v>115</v>
      </c>
      <c r="M6">
        <f>'caratteristiche cella '!M15</f>
        <v>1802875.8389828729</v>
      </c>
      <c r="N6" s="275">
        <f>'caratteristiche cella '!S15</f>
        <v>101965.67299564052</v>
      </c>
      <c r="O6" s="275"/>
      <c r="P6" s="274">
        <f t="shared" si="0"/>
        <v>10</v>
      </c>
      <c r="Q6" s="274"/>
      <c r="R6" s="274"/>
      <c r="S6" s="275">
        <f>P6*M6/1000</f>
        <v>18028.75838982873</v>
      </c>
      <c r="T6" s="275"/>
    </row>
    <row r="7" spans="1:20" ht="14.7" thickBot="1" x14ac:dyDescent="0.6">
      <c r="A7" t="s">
        <v>116</v>
      </c>
      <c r="B7">
        <v>0.33</v>
      </c>
      <c r="C7" s="273"/>
      <c r="D7" s="277"/>
      <c r="F7" t="s">
        <v>116</v>
      </c>
      <c r="G7">
        <v>0.19</v>
      </c>
      <c r="H7" s="276"/>
      <c r="I7" s="277"/>
      <c r="L7" s="52" t="s">
        <v>117</v>
      </c>
      <c r="M7">
        <f>'caratteristiche cella '!M12</f>
        <v>1230416.8712943795</v>
      </c>
      <c r="N7" s="275">
        <f>'caratteristiche cella '!S12</f>
        <v>78460.45329261024</v>
      </c>
      <c r="O7" s="275"/>
      <c r="P7" s="274">
        <f t="shared" si="0"/>
        <v>12</v>
      </c>
      <c r="Q7" s="274"/>
      <c r="R7" s="274"/>
      <c r="S7" s="275">
        <f>P7*M7/1000</f>
        <v>14765.002455532554</v>
      </c>
      <c r="T7" s="275"/>
    </row>
    <row r="8" spans="1:20" ht="14.7" thickBot="1" x14ac:dyDescent="0.6">
      <c r="A8" t="s">
        <v>118</v>
      </c>
      <c r="B8">
        <f>24*365*B7</f>
        <v>2890.8</v>
      </c>
      <c r="F8" t="s">
        <v>118</v>
      </c>
      <c r="G8">
        <f>24*365*G7</f>
        <v>1664.4</v>
      </c>
      <c r="M8">
        <f>'caratteristiche cella '!M10</f>
        <v>893294.99214515102</v>
      </c>
      <c r="N8" s="275">
        <f>'caratteristiche cella '!S10</f>
        <v>62750.4082969503</v>
      </c>
      <c r="O8" s="275"/>
      <c r="P8" s="274">
        <f t="shared" si="0"/>
        <v>15</v>
      </c>
      <c r="Q8" s="274"/>
      <c r="R8" s="274"/>
      <c r="S8" s="275">
        <f>P8*M8/1000</f>
        <v>13399.424882177265</v>
      </c>
      <c r="T8" s="275"/>
    </row>
    <row r="9" spans="1:20" ht="14.7" thickBot="1" x14ac:dyDescent="0.6">
      <c r="A9" t="s">
        <v>119</v>
      </c>
      <c r="B9">
        <f>B6*B7*B8</f>
        <v>12019.946400000003</v>
      </c>
      <c r="F9" t="s">
        <v>119</v>
      </c>
      <c r="G9">
        <f>S7-B9</f>
        <v>2745.0560555325519</v>
      </c>
      <c r="M9">
        <f>'caratteristiche cella '!M7</f>
        <v>470625.3015492112</v>
      </c>
      <c r="N9" s="275">
        <f>'caratteristiche cella '!S7</f>
        <v>39170.378855845469</v>
      </c>
      <c r="O9" s="275"/>
      <c r="P9" s="274">
        <f>_xlfn.CEILING.MATH($J$3/N9)</f>
        <v>24</v>
      </c>
      <c r="Q9" s="274"/>
      <c r="R9" s="274"/>
      <c r="S9" s="275">
        <f>P9*M9/1000</f>
        <v>11295.007237181069</v>
      </c>
      <c r="T9" s="275"/>
    </row>
    <row r="10" spans="1:20" x14ac:dyDescent="0.55000000000000004">
      <c r="A10" s="282" t="s">
        <v>120</v>
      </c>
      <c r="B10" s="283"/>
      <c r="C10" s="284" t="s">
        <v>121</v>
      </c>
      <c r="D10" s="285"/>
      <c r="P10" s="275"/>
      <c r="Q10" s="275"/>
      <c r="R10" s="275"/>
    </row>
    <row r="11" spans="1:20" ht="37.9" customHeight="1" x14ac:dyDescent="0.55000000000000004">
      <c r="A11" s="62" t="s">
        <v>122</v>
      </c>
      <c r="B11" s="63">
        <v>5000</v>
      </c>
      <c r="C11" s="62" t="s">
        <v>122</v>
      </c>
      <c r="D11" s="63">
        <v>4000</v>
      </c>
    </row>
    <row r="12" spans="1:20" ht="28.9" customHeight="1" x14ac:dyDescent="0.55000000000000004">
      <c r="A12" s="62" t="s">
        <v>123</v>
      </c>
      <c r="B12" s="63">
        <v>840</v>
      </c>
      <c r="C12" s="62" t="s">
        <v>123</v>
      </c>
      <c r="D12" s="63">
        <v>840</v>
      </c>
    </row>
    <row r="13" spans="1:20" x14ac:dyDescent="0.55000000000000004">
      <c r="A13" s="62" t="s">
        <v>124</v>
      </c>
      <c r="B13" s="63">
        <f>B11*B12/10^6</f>
        <v>4.2</v>
      </c>
      <c r="C13" s="62" t="s">
        <v>124</v>
      </c>
      <c r="D13" s="63">
        <f>D11*D12/10^6</f>
        <v>3.36</v>
      </c>
    </row>
    <row r="14" spans="1:20" ht="14.7" thickBot="1" x14ac:dyDescent="0.6">
      <c r="A14" s="64" t="s">
        <v>125</v>
      </c>
      <c r="B14" s="65">
        <v>756000</v>
      </c>
      <c r="C14" s="64" t="s">
        <v>125</v>
      </c>
      <c r="D14" s="65">
        <v>605200</v>
      </c>
    </row>
    <row r="15" spans="1:20" ht="14.7" thickBot="1" x14ac:dyDescent="0.6"/>
    <row r="16" spans="1:20" ht="14.5" customHeight="1" x14ac:dyDescent="0.55000000000000004">
      <c r="A16" s="260" t="s">
        <v>126</v>
      </c>
      <c r="B16" s="262"/>
      <c r="I16" s="260" t="s">
        <v>127</v>
      </c>
      <c r="J16" s="261" t="s">
        <v>128</v>
      </c>
      <c r="K16" s="261" t="s">
        <v>129</v>
      </c>
      <c r="L16" s="262"/>
      <c r="M16" s="261" t="s">
        <v>130</v>
      </c>
      <c r="N16" s="262"/>
    </row>
    <row r="17" spans="1:14" ht="14.7" thickBot="1" x14ac:dyDescent="0.6">
      <c r="A17" s="281"/>
      <c r="B17" s="287"/>
      <c r="I17" s="263"/>
      <c r="J17" s="264"/>
      <c r="K17" s="264"/>
      <c r="L17" s="265"/>
      <c r="M17" s="264"/>
      <c r="N17" s="265"/>
    </row>
    <row r="18" spans="1:14" x14ac:dyDescent="0.55000000000000004">
      <c r="A18" s="281"/>
      <c r="B18" s="287"/>
      <c r="H18" s="272" t="s">
        <v>131</v>
      </c>
      <c r="I18" s="266">
        <f>((D6+I6)*10^6)/('output H2'!J3)</f>
        <v>20.229072572966405</v>
      </c>
      <c r="J18" s="267"/>
      <c r="K18" s="267">
        <f>((D6+I6)*10^6-B21*'output H2'!J3)/('output H2'!J3)</f>
        <v>6.2290725729664054</v>
      </c>
      <c r="L18" s="267"/>
      <c r="M18" s="61"/>
      <c r="N18" s="61"/>
    </row>
    <row r="19" spans="1:14" ht="14.7" thickBot="1" x14ac:dyDescent="0.6">
      <c r="A19" s="263"/>
      <c r="B19" s="265"/>
      <c r="H19" s="273"/>
      <c r="I19" s="286"/>
      <c r="J19" s="277"/>
      <c r="K19" s="277"/>
      <c r="L19" s="277"/>
    </row>
    <row r="20" spans="1:14" ht="14.7" thickBot="1" x14ac:dyDescent="0.6">
      <c r="M20" s="46">
        <f>((D6+I6)*10^6+B13*10^6-B21*B14)/(B14)</f>
        <v>16.45658060370706</v>
      </c>
      <c r="N20" t="s">
        <v>132</v>
      </c>
    </row>
    <row r="21" spans="1:14" ht="106.9" customHeight="1" x14ac:dyDescent="0.55000000000000004">
      <c r="A21" s="8" t="s">
        <v>133</v>
      </c>
      <c r="B21" s="57">
        <v>14</v>
      </c>
      <c r="C21" s="59" t="s">
        <v>134</v>
      </c>
      <c r="D21" s="1"/>
      <c r="M21" s="49">
        <f>((D6+I6)*10^6+D13*10^6-B21*D14)/(D14)</f>
        <v>22.657592426309545</v>
      </c>
      <c r="N21" t="s">
        <v>135</v>
      </c>
    </row>
    <row r="22" spans="1:14" x14ac:dyDescent="0.55000000000000004">
      <c r="A22" s="9"/>
      <c r="B22" s="60"/>
      <c r="C22" s="2"/>
      <c r="D22" s="1"/>
    </row>
    <row r="23" spans="1:14" ht="14.7" thickBot="1" x14ac:dyDescent="0.6">
      <c r="A23" s="10"/>
      <c r="B23" s="58"/>
      <c r="C23" s="2"/>
      <c r="D23" s="1"/>
    </row>
  </sheetData>
  <mergeCells count="46">
    <mergeCell ref="N8:O8"/>
    <mergeCell ref="P8:R8"/>
    <mergeCell ref="P9:R9"/>
    <mergeCell ref="P10:R10"/>
    <mergeCell ref="S8:T8"/>
    <mergeCell ref="N9:O9"/>
    <mergeCell ref="S9:T9"/>
    <mergeCell ref="J16:J17"/>
    <mergeCell ref="I16:I17"/>
    <mergeCell ref="A10:B10"/>
    <mergeCell ref="C10:D10"/>
    <mergeCell ref="I18:I19"/>
    <mergeCell ref="J18:J19"/>
    <mergeCell ref="A16:B19"/>
    <mergeCell ref="K16:L17"/>
    <mergeCell ref="K18:L19"/>
    <mergeCell ref="S7:T7"/>
    <mergeCell ref="J1:K2"/>
    <mergeCell ref="L1:L2"/>
    <mergeCell ref="M16:N17"/>
    <mergeCell ref="S1:T2"/>
    <mergeCell ref="S3:T3"/>
    <mergeCell ref="S4:T4"/>
    <mergeCell ref="S5:T5"/>
    <mergeCell ref="S6:T6"/>
    <mergeCell ref="J3:K5"/>
    <mergeCell ref="P3:R3"/>
    <mergeCell ref="P4:R4"/>
    <mergeCell ref="P5:R5"/>
    <mergeCell ref="P6:R6"/>
    <mergeCell ref="H6:H7"/>
    <mergeCell ref="I6:I7"/>
    <mergeCell ref="C6:C7"/>
    <mergeCell ref="D6:D7"/>
    <mergeCell ref="H18:H19"/>
    <mergeCell ref="P7:R7"/>
    <mergeCell ref="N3:O3"/>
    <mergeCell ref="N4:O4"/>
    <mergeCell ref="N5:O5"/>
    <mergeCell ref="N6:O6"/>
    <mergeCell ref="N7:O7"/>
    <mergeCell ref="P1:R2"/>
    <mergeCell ref="A1:D2"/>
    <mergeCell ref="F1:I2"/>
    <mergeCell ref="M1:M2"/>
    <mergeCell ref="N1:O2"/>
  </mergeCells>
  <hyperlinks>
    <hyperlink ref="C21" r:id="rId1" location=":~:text=Quanto%20costa%20il%20rifornimento%20di%20un'auto%20a%20idrogeno&amp;text=Il%20costo%20dell'idrogeno%20si,tratta%20di%20un%20rifornimento%20green." display="https://www.leaseplan.com/it-it/news-auto/futuro-della-mobilita/auto-a-idrogeno-come-funzionano-costi-e-modelli/#:~:text=Quanto%20costa%20il%20rifornimento%20di%20un'auto%20a%20idrogeno&amp;text=Il%20costo%20dell'idrogeno%20si,tratta%20di%20un%20rifornimento%20green." xr:uid="{D16C16CC-16E8-4EC9-9A16-15CE5BD3D7A8}"/>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FEEF7-42B1-4472-BA1E-C67185166BD2}">
  <dimension ref="A1:W46"/>
  <sheetViews>
    <sheetView zoomScale="60" zoomScaleNormal="60" workbookViewId="0">
      <selection activeCell="M8" sqref="M8"/>
    </sheetView>
  </sheetViews>
  <sheetFormatPr defaultRowHeight="14.4" x14ac:dyDescent="0.55000000000000004"/>
  <cols>
    <col min="1" max="1" width="21.578125" customWidth="1"/>
    <col min="2" max="2" width="11.15625" bestFit="1" customWidth="1"/>
    <col min="3" max="3" width="21.578125" customWidth="1"/>
    <col min="4" max="4" width="18.41796875" customWidth="1"/>
    <col min="5" max="5" width="15.05078125" customWidth="1"/>
    <col min="6" max="6" width="15.578125" customWidth="1"/>
    <col min="7" max="7" width="19.26171875" customWidth="1"/>
    <col min="8" max="8" width="11.15625" bestFit="1" customWidth="1"/>
    <col min="9" max="9" width="15.15625" customWidth="1"/>
    <col min="10" max="10" width="16.578125" customWidth="1"/>
    <col min="11" max="11" width="10.15625" bestFit="1" customWidth="1"/>
    <col min="13" max="13" width="20.41796875" customWidth="1"/>
    <col min="14" max="14" width="21.3671875" customWidth="1"/>
    <col min="15" max="15" width="11.15625" bestFit="1" customWidth="1"/>
    <col min="16" max="16" width="11.734375" customWidth="1"/>
    <col min="17" max="17" width="18.47265625" bestFit="1" customWidth="1"/>
    <col min="18" max="18" width="18.3125" customWidth="1"/>
    <col min="21" max="21" width="21.5234375" bestFit="1" customWidth="1"/>
    <col min="22" max="22" width="14.1015625" customWidth="1"/>
    <col min="23" max="23" width="13.3125" bestFit="1" customWidth="1"/>
  </cols>
  <sheetData>
    <row r="1" spans="1:22" ht="14.7" thickBot="1" x14ac:dyDescent="0.6">
      <c r="A1" s="314" t="s">
        <v>209</v>
      </c>
      <c r="B1" s="315"/>
      <c r="C1" s="144"/>
      <c r="D1" s="314" t="s">
        <v>1</v>
      </c>
      <c r="E1" s="316"/>
      <c r="F1" s="141"/>
      <c r="G1" s="303" t="s">
        <v>136</v>
      </c>
      <c r="H1" s="304"/>
      <c r="Q1" s="305" t="s">
        <v>317</v>
      </c>
      <c r="R1" s="306"/>
    </row>
    <row r="2" spans="1:22" ht="38.1" customHeight="1" thickBot="1" x14ac:dyDescent="0.6">
      <c r="A2" s="8" t="s">
        <v>197</v>
      </c>
      <c r="B2" s="8">
        <f>365</f>
        <v>365</v>
      </c>
      <c r="C2" s="145"/>
      <c r="D2" s="8" t="s">
        <v>137</v>
      </c>
      <c r="E2" s="8">
        <f>365</f>
        <v>365</v>
      </c>
      <c r="F2" s="4"/>
      <c r="G2" s="76" t="s">
        <v>138</v>
      </c>
      <c r="H2" s="4">
        <v>4500</v>
      </c>
      <c r="I2" s="1"/>
      <c r="J2" s="305" t="s">
        <v>139</v>
      </c>
      <c r="K2" s="306"/>
      <c r="L2" s="307"/>
      <c r="O2" s="1"/>
      <c r="P2" s="1"/>
      <c r="Q2" s="45" t="s">
        <v>318</v>
      </c>
      <c r="R2" s="45">
        <v>1.1040000000000001</v>
      </c>
      <c r="S2" s="1"/>
      <c r="T2" s="1" t="s">
        <v>325</v>
      </c>
      <c r="U2" s="1">
        <f>(R2+R3*R7+R4*R8+R5*R7^2+R6*R7*R8)*1000</f>
        <v>787.87599999999998</v>
      </c>
      <c r="V2" t="s">
        <v>326</v>
      </c>
    </row>
    <row r="3" spans="1:22" ht="43.9" customHeight="1" thickBot="1" x14ac:dyDescent="0.6">
      <c r="A3" s="9" t="s">
        <v>198</v>
      </c>
      <c r="B3" s="9">
        <v>11500</v>
      </c>
      <c r="C3" s="145"/>
      <c r="D3" s="9" t="s">
        <v>202</v>
      </c>
      <c r="E3" s="9">
        <f>H5</f>
        <v>500</v>
      </c>
      <c r="F3" s="3"/>
      <c r="G3" s="2" t="s">
        <v>141</v>
      </c>
      <c r="H3" s="3">
        <v>45</v>
      </c>
      <c r="J3" s="142" t="s">
        <v>210</v>
      </c>
      <c r="K3" s="210">
        <f>(B9+E9)</f>
        <v>337086</v>
      </c>
      <c r="L3" s="22" t="s">
        <v>6</v>
      </c>
      <c r="N3" s="84" t="s">
        <v>175</v>
      </c>
      <c r="O3" s="1"/>
      <c r="Q3" s="45" t="s">
        <v>319</v>
      </c>
      <c r="R3" s="45">
        <f>6.086*10^-2</f>
        <v>6.0860000000000004E-2</v>
      </c>
      <c r="U3" s="1"/>
    </row>
    <row r="4" spans="1:22" ht="70.900000000000006" customHeight="1" thickBot="1" x14ac:dyDescent="0.6">
      <c r="A4" s="9" t="s">
        <v>199</v>
      </c>
      <c r="B4" s="9">
        <f>_xlfn.CEILING.MATH(B3/B7)</f>
        <v>18</v>
      </c>
      <c r="C4" s="145"/>
      <c r="D4" s="9" t="s">
        <v>142</v>
      </c>
      <c r="E4" s="60">
        <f>H2/H5</f>
        <v>9</v>
      </c>
      <c r="F4" s="3"/>
      <c r="G4" s="2" t="s">
        <v>216</v>
      </c>
      <c r="H4" s="3">
        <f>100/9</f>
        <v>11.111111111111111</v>
      </c>
      <c r="J4" s="33"/>
      <c r="K4" s="33">
        <f>B9+E9</f>
        <v>337086</v>
      </c>
      <c r="L4" s="1"/>
      <c r="O4" s="1"/>
      <c r="P4" s="1"/>
      <c r="Q4" s="33" t="s">
        <v>320</v>
      </c>
      <c r="R4" s="45">
        <f>-3.625*10^-4</f>
        <v>-3.6250000000000003E-4</v>
      </c>
      <c r="U4" s="1"/>
    </row>
    <row r="5" spans="1:22" ht="60" customHeight="1" thickBot="1" x14ac:dyDescent="0.6">
      <c r="A5" s="9" t="s">
        <v>200</v>
      </c>
      <c r="B5" s="9">
        <v>5.6</v>
      </c>
      <c r="C5" s="145"/>
      <c r="D5" s="9" t="s">
        <v>200</v>
      </c>
      <c r="E5" s="9">
        <f>H3</f>
        <v>45</v>
      </c>
      <c r="F5" s="6"/>
      <c r="G5" s="78" t="s">
        <v>140</v>
      </c>
      <c r="H5" s="79">
        <f>H3*H4</f>
        <v>500</v>
      </c>
      <c r="I5" s="1"/>
      <c r="J5" s="1"/>
      <c r="K5" s="1"/>
      <c r="L5" s="1"/>
      <c r="O5" s="1"/>
      <c r="P5" s="1"/>
      <c r="Q5" s="33" t="s">
        <v>321</v>
      </c>
      <c r="R5" s="33">
        <f>-7.958*10^-2</f>
        <v>-7.9579999999999998E-2</v>
      </c>
      <c r="S5" s="1"/>
      <c r="T5" s="1"/>
      <c r="U5" s="1"/>
    </row>
    <row r="6" spans="1:22" ht="14.7" thickBot="1" x14ac:dyDescent="0.6">
      <c r="A6" s="9" t="s">
        <v>201</v>
      </c>
      <c r="B6" s="154">
        <v>3320</v>
      </c>
      <c r="C6" s="145"/>
      <c r="D6" s="10" t="s">
        <v>143</v>
      </c>
      <c r="E6" s="153">
        <v>6</v>
      </c>
      <c r="F6" s="1"/>
      <c r="I6" s="1"/>
      <c r="J6" s="1"/>
      <c r="K6" s="1"/>
      <c r="L6" s="1"/>
      <c r="O6" s="1"/>
      <c r="P6" s="1"/>
      <c r="Q6" s="33" t="s">
        <v>322</v>
      </c>
      <c r="R6" s="33">
        <f>-6.355*10^-4</f>
        <v>-6.3550000000000011E-4</v>
      </c>
      <c r="S6" s="1"/>
      <c r="T6" s="1"/>
      <c r="U6" s="1"/>
    </row>
    <row r="7" spans="1:22" ht="14.7" thickBot="1" x14ac:dyDescent="0.6">
      <c r="A7" s="10" t="s">
        <v>202</v>
      </c>
      <c r="B7" s="58">
        <v>650</v>
      </c>
      <c r="C7" s="145"/>
      <c r="F7" s="72"/>
      <c r="G7" s="1"/>
      <c r="H7" s="1"/>
      <c r="I7" s="1"/>
      <c r="J7" s="1"/>
      <c r="K7" s="1"/>
      <c r="L7" s="1"/>
      <c r="M7" s="1"/>
      <c r="N7" s="1"/>
      <c r="O7" s="1"/>
      <c r="P7" s="1"/>
      <c r="Q7" s="1" t="s">
        <v>323</v>
      </c>
      <c r="R7" s="1">
        <v>1</v>
      </c>
      <c r="S7" s="1"/>
      <c r="T7" s="1"/>
      <c r="U7" s="1"/>
    </row>
    <row r="8" spans="1:22" ht="57.9" thickBot="1" x14ac:dyDescent="0.6">
      <c r="A8" s="140" t="s">
        <v>145</v>
      </c>
      <c r="B8" s="11">
        <f>B5*B4</f>
        <v>100.8</v>
      </c>
      <c r="C8" s="33"/>
      <c r="D8" s="121" t="s">
        <v>146</v>
      </c>
      <c r="E8" s="11">
        <f>E5*E4</f>
        <v>405</v>
      </c>
      <c r="F8" s="33"/>
      <c r="G8" s="1" t="s">
        <v>147</v>
      </c>
      <c r="H8" s="1">
        <f>100</f>
        <v>100</v>
      </c>
      <c r="I8" s="1"/>
      <c r="J8" s="1"/>
      <c r="K8" s="1"/>
      <c r="L8" s="1"/>
      <c r="M8" s="1"/>
      <c r="N8" s="1"/>
      <c r="O8" s="1"/>
      <c r="P8" s="1"/>
      <c r="Q8" s="1" t="s">
        <v>324</v>
      </c>
      <c r="R8" s="1">
        <v>298</v>
      </c>
      <c r="S8" s="1"/>
      <c r="T8" s="1"/>
      <c r="U8" s="1"/>
    </row>
    <row r="9" spans="1:22" ht="59.1" customHeight="1" thickBot="1" x14ac:dyDescent="0.6">
      <c r="A9" s="120" t="s">
        <v>189</v>
      </c>
      <c r="B9" s="211">
        <f>B8*B6</f>
        <v>334656</v>
      </c>
      <c r="C9" s="33"/>
      <c r="D9" s="120" t="s">
        <v>189</v>
      </c>
      <c r="E9" s="211">
        <f>E8*E6</f>
        <v>2430</v>
      </c>
      <c r="F9" s="33"/>
      <c r="G9" s="1"/>
      <c r="H9" s="1"/>
      <c r="I9" s="1"/>
      <c r="J9" s="1"/>
      <c r="K9" s="1"/>
      <c r="L9" s="1"/>
      <c r="M9" s="1"/>
      <c r="N9" s="1"/>
      <c r="O9" s="1"/>
      <c r="P9" s="1"/>
      <c r="Q9" s="1"/>
      <c r="R9" s="1"/>
      <c r="S9" s="1"/>
      <c r="T9" s="1"/>
      <c r="U9" s="1"/>
    </row>
    <row r="10" spans="1:22" x14ac:dyDescent="0.55000000000000004">
      <c r="A10" s="1"/>
      <c r="B10" s="1"/>
      <c r="C10" s="1"/>
      <c r="D10" s="1"/>
      <c r="E10" s="1"/>
      <c r="F10" s="1"/>
      <c r="G10" s="1"/>
      <c r="H10" s="1"/>
      <c r="I10" s="1"/>
      <c r="J10" s="1"/>
      <c r="K10" s="1"/>
      <c r="L10" s="1"/>
      <c r="M10" s="1"/>
      <c r="N10" s="1"/>
      <c r="O10" s="1"/>
      <c r="P10" s="1"/>
      <c r="Q10" s="1"/>
      <c r="R10" s="1"/>
      <c r="S10" s="1"/>
      <c r="T10" s="1"/>
      <c r="U10" s="1"/>
    </row>
    <row r="11" spans="1:22" ht="30" customHeight="1" thickBot="1" x14ac:dyDescent="0.6">
      <c r="A11" s="317" t="s">
        <v>190</v>
      </c>
      <c r="B11" s="318"/>
      <c r="C11" s="318"/>
      <c r="D11" s="318"/>
      <c r="E11" s="1"/>
      <c r="F11" s="299" t="s">
        <v>192</v>
      </c>
      <c r="G11" s="300"/>
      <c r="H11" s="1"/>
      <c r="I11" s="1"/>
      <c r="J11" s="293" t="s">
        <v>191</v>
      </c>
      <c r="K11" s="294"/>
      <c r="L11" s="1"/>
      <c r="M11" s="299" t="s">
        <v>193</v>
      </c>
      <c r="N11" s="300"/>
      <c r="O11" s="1"/>
      <c r="P11" s="1"/>
      <c r="Q11" s="291" t="s">
        <v>181</v>
      </c>
      <c r="R11" s="292"/>
      <c r="S11" s="1"/>
      <c r="T11" s="1"/>
      <c r="U11" s="1"/>
    </row>
    <row r="12" spans="1:22" ht="61.15" customHeight="1" thickBot="1" x14ac:dyDescent="0.6">
      <c r="A12" s="11" t="s">
        <v>203</v>
      </c>
      <c r="B12" s="22">
        <v>455</v>
      </c>
      <c r="C12" s="33" t="s">
        <v>25</v>
      </c>
      <c r="D12" s="33">
        <v>0.79</v>
      </c>
      <c r="E12" s="45"/>
      <c r="F12" s="8" t="s">
        <v>211</v>
      </c>
      <c r="G12" s="85">
        <v>600</v>
      </c>
      <c r="H12" s="74"/>
      <c r="I12" s="33"/>
      <c r="J12" s="8" t="s">
        <v>27</v>
      </c>
      <c r="K12" s="8">
        <v>2.8</v>
      </c>
      <c r="L12" s="33"/>
      <c r="M12" s="8" t="s">
        <v>172</v>
      </c>
      <c r="N12" s="8">
        <f>G14*365*1000*18/6</f>
        <v>1015858190.0725163</v>
      </c>
      <c r="O12" s="33"/>
      <c r="P12" s="33"/>
      <c r="Q12" s="8" t="s">
        <v>182</v>
      </c>
      <c r="R12" s="8">
        <f>G14*365*1000*44/6</f>
        <v>2483208909.0661511</v>
      </c>
      <c r="S12" s="1"/>
      <c r="T12" s="1"/>
      <c r="U12" s="1"/>
    </row>
    <row r="13" spans="1:22" ht="87.6" customHeight="1" thickBot="1" x14ac:dyDescent="0.6">
      <c r="A13" s="11" t="s">
        <v>204</v>
      </c>
      <c r="B13" s="22">
        <f>D15/10^6</f>
        <v>1805.9701156844733</v>
      </c>
      <c r="C13" s="33" t="s">
        <v>148</v>
      </c>
      <c r="D13" s="33">
        <f>B13*1000/365</f>
        <v>4947.8633306423926</v>
      </c>
      <c r="E13" s="33"/>
      <c r="F13" s="9" t="s">
        <v>215</v>
      </c>
      <c r="G13" s="35">
        <f>G14/24</f>
        <v>38.655182270643692</v>
      </c>
      <c r="H13" s="33"/>
      <c r="I13" s="33"/>
      <c r="J13" s="9" t="s">
        <v>149</v>
      </c>
      <c r="K13" s="60">
        <f>K12*G14*365/1000</f>
        <v>948.13431073434845</v>
      </c>
      <c r="L13" s="45"/>
      <c r="M13" s="115" t="s">
        <v>174</v>
      </c>
      <c r="N13" s="11">
        <f>N12/1000</f>
        <v>1015858.1900725163</v>
      </c>
      <c r="O13" s="33"/>
      <c r="P13" s="33"/>
      <c r="Q13" s="11" t="s">
        <v>183</v>
      </c>
      <c r="R13" s="11">
        <f>R12/10^3</f>
        <v>2483208.9090661514</v>
      </c>
      <c r="S13" s="1"/>
      <c r="T13" s="1"/>
      <c r="U13" s="1"/>
    </row>
    <row r="14" spans="1:22" ht="58.8" customHeight="1" thickBot="1" x14ac:dyDescent="0.6">
      <c r="A14" s="11" t="s">
        <v>205</v>
      </c>
      <c r="B14" s="22">
        <f>17060/10^6</f>
        <v>1.7059999999999999E-2</v>
      </c>
      <c r="C14" s="74"/>
      <c r="D14" s="45"/>
      <c r="E14" s="45"/>
      <c r="F14" s="9" t="s">
        <v>212</v>
      </c>
      <c r="G14" s="123">
        <f>'polarization curve'!S17*'polarization curve'!W17/365</f>
        <v>927.72437449544861</v>
      </c>
      <c r="I14" s="33"/>
      <c r="J14" s="9" t="s">
        <v>35</v>
      </c>
      <c r="K14" s="9">
        <v>100</v>
      </c>
      <c r="L14" s="33"/>
      <c r="M14" s="10" t="s">
        <v>173</v>
      </c>
      <c r="N14" s="10">
        <f>N13/1000</f>
        <v>1015.8581900725163</v>
      </c>
      <c r="O14" s="33"/>
      <c r="P14" s="33"/>
      <c r="Q14" s="10" t="s">
        <v>184</v>
      </c>
      <c r="R14" s="119">
        <f>R13/10^3</f>
        <v>2483.2089090661511</v>
      </c>
      <c r="S14" s="1"/>
      <c r="T14" s="1"/>
      <c r="U14" s="1"/>
    </row>
    <row r="15" spans="1:22" ht="63.3" customHeight="1" thickBot="1" x14ac:dyDescent="0.6">
      <c r="A15" s="11" t="s">
        <v>206</v>
      </c>
      <c r="B15" s="22">
        <f>_xlfn.CEILING.MATH(B17*B18/15000)</f>
        <v>13</v>
      </c>
      <c r="C15" s="11" t="s">
        <v>150</v>
      </c>
      <c r="D15" s="22">
        <f>G14*365*1000*32/6</f>
        <v>1805970115.6844733</v>
      </c>
      <c r="E15" s="33"/>
      <c r="F15" s="9" t="s">
        <v>213</v>
      </c>
      <c r="G15" s="123">
        <f>G14*5</f>
        <v>4638.6218724772434</v>
      </c>
      <c r="H15" s="45" t="s">
        <v>144</v>
      </c>
      <c r="I15" s="33"/>
      <c r="J15" s="9" t="s">
        <v>151</v>
      </c>
      <c r="K15" s="9">
        <v>2</v>
      </c>
      <c r="L15" s="33" t="s">
        <v>39</v>
      </c>
      <c r="M15" s="33"/>
      <c r="N15" s="33"/>
      <c r="O15" s="33"/>
      <c r="P15" s="33"/>
      <c r="Q15" s="33"/>
      <c r="R15" s="33"/>
      <c r="S15" s="1"/>
      <c r="T15" s="1"/>
      <c r="U15" s="1"/>
    </row>
    <row r="16" spans="1:22" ht="43.5" thickBot="1" x14ac:dyDescent="0.6">
      <c r="A16" s="11" t="s">
        <v>207</v>
      </c>
      <c r="B16" s="22">
        <f>B15*15000</f>
        <v>195000</v>
      </c>
      <c r="C16" s="45"/>
      <c r="D16" s="45"/>
      <c r="E16" s="33"/>
      <c r="F16" s="9" t="s">
        <v>214</v>
      </c>
      <c r="G16" s="35">
        <f>G15*G12/(10^6)</f>
        <v>2.7831731234863462</v>
      </c>
      <c r="H16" s="33"/>
      <c r="I16" s="33"/>
      <c r="J16" s="9" t="s">
        <v>153</v>
      </c>
      <c r="K16" s="9">
        <v>225000</v>
      </c>
      <c r="L16" s="33"/>
      <c r="M16" s="33"/>
      <c r="N16" s="33"/>
      <c r="O16" s="33"/>
      <c r="P16" s="33"/>
      <c r="Q16" s="33"/>
      <c r="R16" s="33"/>
      <c r="S16" s="1"/>
      <c r="T16" s="1"/>
      <c r="U16" s="1"/>
    </row>
    <row r="17" spans="1:21" ht="29.1" thickBot="1" x14ac:dyDescent="0.6">
      <c r="A17" s="11" t="s">
        <v>208</v>
      </c>
      <c r="B17" s="22">
        <f>D13/D12</f>
        <v>6263.1181400536616</v>
      </c>
      <c r="C17" s="33"/>
      <c r="D17" s="33"/>
      <c r="E17" s="33"/>
      <c r="F17" s="10" t="s">
        <v>152</v>
      </c>
      <c r="G17" s="39">
        <v>0</v>
      </c>
      <c r="H17" s="33"/>
      <c r="I17" s="33"/>
      <c r="J17" s="9" t="s">
        <v>154</v>
      </c>
      <c r="K17" s="9">
        <f>K16*K15/10^6</f>
        <v>0.45</v>
      </c>
      <c r="L17" s="33"/>
      <c r="M17" s="33"/>
      <c r="N17" s="33"/>
      <c r="O17" s="33"/>
      <c r="P17" s="33"/>
      <c r="Q17" s="33"/>
      <c r="R17" s="33"/>
      <c r="S17" s="1"/>
      <c r="T17" s="1"/>
      <c r="U17" s="1"/>
    </row>
    <row r="18" spans="1:21" ht="29.1" thickBot="1" x14ac:dyDescent="0.6">
      <c r="A18" s="11" t="s">
        <v>155</v>
      </c>
      <c r="B18" s="22">
        <f>30</f>
        <v>30</v>
      </c>
      <c r="C18" s="45"/>
      <c r="D18" s="33"/>
      <c r="E18" s="33"/>
      <c r="H18" s="33"/>
      <c r="I18" s="33"/>
      <c r="J18" s="10" t="s">
        <v>47</v>
      </c>
      <c r="K18" s="10">
        <f>0.04*K17</f>
        <v>1.8000000000000002E-2</v>
      </c>
      <c r="L18" s="33"/>
      <c r="M18" s="33"/>
      <c r="N18" s="33"/>
      <c r="O18" s="33"/>
      <c r="P18" s="33"/>
      <c r="Q18" s="33"/>
      <c r="R18" s="33"/>
      <c r="S18" s="1"/>
      <c r="T18" s="1"/>
      <c r="U18" s="1"/>
    </row>
    <row r="19" spans="1:21" x14ac:dyDescent="0.55000000000000004">
      <c r="A19" s="1"/>
      <c r="B19" s="1"/>
      <c r="C19" s="1"/>
      <c r="D19" s="1"/>
      <c r="E19" s="1"/>
      <c r="F19" s="1"/>
      <c r="G19" s="1"/>
      <c r="H19" s="1"/>
      <c r="I19" s="1"/>
      <c r="J19" s="1"/>
      <c r="K19" s="1"/>
      <c r="L19" s="1"/>
      <c r="M19" s="1"/>
      <c r="N19" s="1"/>
      <c r="O19" s="1"/>
      <c r="P19" s="1"/>
      <c r="Q19" s="1"/>
      <c r="R19" s="1"/>
      <c r="S19" s="1"/>
      <c r="T19" s="1"/>
      <c r="U19" s="1"/>
    </row>
    <row r="20" spans="1:21" x14ac:dyDescent="0.55000000000000004">
      <c r="A20" s="1"/>
      <c r="B20" s="1"/>
      <c r="C20" s="1"/>
      <c r="D20" s="1"/>
      <c r="E20" s="1"/>
      <c r="F20" s="1"/>
      <c r="G20" s="1"/>
      <c r="H20" s="1"/>
      <c r="I20" s="1"/>
      <c r="J20" s="1"/>
      <c r="K20" s="1"/>
      <c r="L20" s="1"/>
      <c r="M20" s="1"/>
      <c r="N20" s="1"/>
      <c r="O20" s="1"/>
      <c r="P20" s="1"/>
      <c r="Q20" s="1"/>
      <c r="R20" s="1"/>
      <c r="S20" s="1"/>
      <c r="T20" s="1"/>
      <c r="U20" s="1"/>
    </row>
    <row r="21" spans="1:21" s="157" customFormat="1" ht="26.1" thickBot="1" x14ac:dyDescent="1">
      <c r="A21" s="295" t="s">
        <v>236</v>
      </c>
      <c r="B21" s="295"/>
      <c r="C21" s="295"/>
      <c r="D21" s="295"/>
      <c r="E21" s="295"/>
      <c r="F21" s="295"/>
      <c r="G21" s="295"/>
      <c r="H21" s="295"/>
      <c r="I21" s="295"/>
      <c r="J21" s="295"/>
      <c r="K21" s="295"/>
      <c r="L21" s="295"/>
      <c r="M21" s="295"/>
      <c r="N21" s="295"/>
      <c r="O21" s="295"/>
      <c r="P21" s="295"/>
      <c r="Q21" s="295"/>
      <c r="R21" s="295"/>
      <c r="S21" s="295"/>
    </row>
    <row r="22" spans="1:21" ht="14.7" thickBot="1" x14ac:dyDescent="0.6">
      <c r="D22" s="308" t="s">
        <v>219</v>
      </c>
      <c r="E22" s="309"/>
      <c r="F22" s="310"/>
      <c r="G22" s="308" t="s">
        <v>1</v>
      </c>
      <c r="H22" s="309"/>
      <c r="I22" s="310"/>
      <c r="J22" s="306" t="s">
        <v>193</v>
      </c>
      <c r="K22" s="307"/>
      <c r="N22" s="303" t="s">
        <v>190</v>
      </c>
      <c r="O22" s="304"/>
      <c r="P22" s="304"/>
      <c r="Q22" s="33"/>
      <c r="R22" s="293" t="s">
        <v>191</v>
      </c>
      <c r="S22" s="294"/>
    </row>
    <row r="23" spans="1:21" ht="29.1" thickBot="1" x14ac:dyDescent="0.6">
      <c r="D23" s="10" t="s">
        <v>310</v>
      </c>
      <c r="E23" s="58">
        <f>B3</f>
        <v>11500</v>
      </c>
      <c r="F23" s="123" t="s">
        <v>147</v>
      </c>
      <c r="G23" s="10" t="s">
        <v>224</v>
      </c>
      <c r="H23" s="39">
        <f>H2</f>
        <v>4500</v>
      </c>
      <c r="I23" s="123" t="s">
        <v>147</v>
      </c>
      <c r="J23" s="22" t="s">
        <v>234</v>
      </c>
      <c r="K23" s="11">
        <f>N14</f>
        <v>1015.8581900725163</v>
      </c>
      <c r="L23" t="s">
        <v>237</v>
      </c>
      <c r="N23" s="8" t="s">
        <v>254</v>
      </c>
      <c r="O23" s="170">
        <f>B17</f>
        <v>6263.1181400536616</v>
      </c>
      <c r="P23" s="11" t="s">
        <v>246</v>
      </c>
      <c r="Q23" s="33"/>
      <c r="R23" s="11" t="s">
        <v>231</v>
      </c>
      <c r="S23" s="11">
        <f>K15</f>
        <v>2</v>
      </c>
    </row>
    <row r="24" spans="1:21" ht="29.1" thickBot="1" x14ac:dyDescent="0.6">
      <c r="D24" s="11" t="s">
        <v>202</v>
      </c>
      <c r="E24" s="115">
        <f>B7</f>
        <v>650</v>
      </c>
      <c r="F24" s="115" t="s">
        <v>309</v>
      </c>
      <c r="G24" s="11" t="s">
        <v>202</v>
      </c>
      <c r="H24" s="22">
        <f>E3</f>
        <v>500</v>
      </c>
      <c r="I24" s="115" t="s">
        <v>303</v>
      </c>
      <c r="J24" s="301" t="s">
        <v>181</v>
      </c>
      <c r="K24" s="302"/>
      <c r="N24" s="11" t="s">
        <v>253</v>
      </c>
      <c r="O24" s="166">
        <f>D12</f>
        <v>0.79</v>
      </c>
      <c r="P24" s="8" t="s">
        <v>247</v>
      </c>
      <c r="Q24" s="33"/>
      <c r="R24" s="9" t="s">
        <v>232</v>
      </c>
      <c r="S24" s="9">
        <f>K14</f>
        <v>100</v>
      </c>
    </row>
    <row r="25" spans="1:21" ht="29.1" thickBot="1" x14ac:dyDescent="0.6">
      <c r="D25" s="9" t="s">
        <v>223</v>
      </c>
      <c r="E25" s="60">
        <f>B4</f>
        <v>18</v>
      </c>
      <c r="F25" s="123"/>
      <c r="G25" s="9" t="s">
        <v>223</v>
      </c>
      <c r="H25" s="35">
        <f>E4</f>
        <v>9</v>
      </c>
      <c r="I25" s="115"/>
      <c r="J25" s="22" t="s">
        <v>235</v>
      </c>
      <c r="K25" s="155">
        <f>R14</f>
        <v>2483.2089090661511</v>
      </c>
      <c r="N25" s="9" t="s">
        <v>243</v>
      </c>
      <c r="O25" s="171">
        <f>B13</f>
        <v>1805.9701156844733</v>
      </c>
      <c r="P25" s="11" t="s">
        <v>240</v>
      </c>
      <c r="Q25" s="33"/>
      <c r="R25" s="8" t="s">
        <v>233</v>
      </c>
      <c r="S25" s="8">
        <f>K12</f>
        <v>2.8</v>
      </c>
    </row>
    <row r="26" spans="1:21" ht="29.1" thickBot="1" x14ac:dyDescent="0.6">
      <c r="D26" s="11" t="s">
        <v>311</v>
      </c>
      <c r="E26" s="115">
        <f>B5</f>
        <v>5.6</v>
      </c>
      <c r="F26" s="115" t="s">
        <v>304</v>
      </c>
      <c r="G26" s="11" t="s">
        <v>200</v>
      </c>
      <c r="H26" s="22">
        <f>H3</f>
        <v>45</v>
      </c>
      <c r="I26" s="115" t="s">
        <v>304</v>
      </c>
      <c r="N26" s="11" t="s">
        <v>252</v>
      </c>
      <c r="O26" s="11">
        <f>B12</f>
        <v>455</v>
      </c>
      <c r="P26" s="11" t="s">
        <v>248</v>
      </c>
      <c r="Q26" s="33"/>
      <c r="R26" s="11" t="s">
        <v>170</v>
      </c>
      <c r="S26" s="115">
        <f>K13</f>
        <v>948.13431073434845</v>
      </c>
    </row>
    <row r="27" spans="1:21" ht="29.1" thickBot="1" x14ac:dyDescent="0.6">
      <c r="D27" s="9" t="s">
        <v>225</v>
      </c>
      <c r="E27" s="60">
        <f>B6</f>
        <v>3320</v>
      </c>
      <c r="F27" s="123"/>
      <c r="G27" s="9" t="s">
        <v>220</v>
      </c>
      <c r="H27" s="35">
        <f>E6</f>
        <v>6</v>
      </c>
      <c r="I27" s="115"/>
      <c r="J27" s="33"/>
      <c r="K27" s="33"/>
      <c r="N27" s="9" t="s">
        <v>228</v>
      </c>
      <c r="O27" s="9">
        <f>B18</f>
        <v>30</v>
      </c>
      <c r="P27" s="9" t="s">
        <v>249</v>
      </c>
      <c r="Q27" s="296" t="s">
        <v>230</v>
      </c>
      <c r="R27" s="154" t="s">
        <v>153</v>
      </c>
      <c r="S27" s="154">
        <f>K16</f>
        <v>225000</v>
      </c>
    </row>
    <row r="28" spans="1:21" ht="57.9" thickBot="1" x14ac:dyDescent="0.6">
      <c r="D28" s="11" t="s">
        <v>221</v>
      </c>
      <c r="E28" s="115">
        <f>B8</f>
        <v>100.8</v>
      </c>
      <c r="F28" s="115" t="s">
        <v>306</v>
      </c>
      <c r="G28" s="11" t="s">
        <v>305</v>
      </c>
      <c r="H28" s="22">
        <f>E8</f>
        <v>405</v>
      </c>
      <c r="I28" s="115" t="s">
        <v>306</v>
      </c>
      <c r="J28" s="33"/>
      <c r="K28" s="156"/>
      <c r="N28" s="11" t="s">
        <v>206</v>
      </c>
      <c r="O28" s="11">
        <f>B15</f>
        <v>13</v>
      </c>
      <c r="P28" s="11"/>
      <c r="Q28" s="296"/>
      <c r="R28" s="12" t="s">
        <v>154</v>
      </c>
      <c r="S28" s="12">
        <f>K17</f>
        <v>0.45</v>
      </c>
    </row>
    <row r="29" spans="1:21" ht="43.5" thickBot="1" x14ac:dyDescent="0.6">
      <c r="D29" s="150" t="s">
        <v>222</v>
      </c>
      <c r="E29" s="149">
        <f>B9</f>
        <v>334656</v>
      </c>
      <c r="F29" s="115" t="s">
        <v>307</v>
      </c>
      <c r="G29" s="150" t="s">
        <v>308</v>
      </c>
      <c r="H29" s="151">
        <f>E9</f>
        <v>2430</v>
      </c>
      <c r="I29" s="115" t="s">
        <v>307</v>
      </c>
      <c r="N29" s="11" t="s">
        <v>251</v>
      </c>
      <c r="O29" s="11">
        <f>B16</f>
        <v>195000</v>
      </c>
      <c r="P29" s="11" t="s">
        <v>250</v>
      </c>
      <c r="Q29" s="296"/>
      <c r="R29" s="153" t="s">
        <v>47</v>
      </c>
      <c r="S29" s="153">
        <f>K18</f>
        <v>1.8000000000000002E-2</v>
      </c>
    </row>
    <row r="30" spans="1:21" ht="29.1" thickBot="1" x14ac:dyDescent="0.6">
      <c r="M30" t="s">
        <v>230</v>
      </c>
      <c r="N30" s="10" t="s">
        <v>205</v>
      </c>
      <c r="O30" s="10">
        <f>B14</f>
        <v>1.7059999999999999E-2</v>
      </c>
      <c r="P30" s="58" t="s">
        <v>262</v>
      </c>
    </row>
    <row r="32" spans="1:21" ht="14.7" thickBot="1" x14ac:dyDescent="0.6"/>
    <row r="33" spans="5:23" ht="14.7" thickBot="1" x14ac:dyDescent="0.6">
      <c r="E33" s="297" t="s">
        <v>226</v>
      </c>
      <c r="F33" s="298"/>
      <c r="G33" s="152"/>
    </row>
    <row r="34" spans="5:23" ht="43.5" thickBot="1" x14ac:dyDescent="0.6">
      <c r="E34" s="142" t="s">
        <v>227</v>
      </c>
      <c r="F34" s="75">
        <f>K3</f>
        <v>337086</v>
      </c>
      <c r="G34" s="33"/>
      <c r="N34" s="305" t="s">
        <v>245</v>
      </c>
      <c r="O34" s="306"/>
      <c r="P34" s="307"/>
    </row>
    <row r="35" spans="5:23" ht="29.1" thickBot="1" x14ac:dyDescent="0.6">
      <c r="N35" s="9" t="s">
        <v>274</v>
      </c>
      <c r="O35" s="209">
        <f>G13</f>
        <v>38.655182270643692</v>
      </c>
      <c r="P35" s="123" t="s">
        <v>275</v>
      </c>
    </row>
    <row r="36" spans="5:23" ht="29.1" thickBot="1" x14ac:dyDescent="0.6">
      <c r="N36" s="11" t="s">
        <v>276</v>
      </c>
      <c r="O36" s="168">
        <f>G14</f>
        <v>927.72437449544861</v>
      </c>
      <c r="P36" s="115" t="s">
        <v>277</v>
      </c>
    </row>
    <row r="37" spans="5:23" ht="29.1" thickBot="1" x14ac:dyDescent="0.6">
      <c r="N37" s="9" t="s">
        <v>279</v>
      </c>
      <c r="O37" s="169">
        <f>G15</f>
        <v>4638.6218724772434</v>
      </c>
      <c r="P37" s="115" t="s">
        <v>278</v>
      </c>
      <c r="Q37" t="s">
        <v>235</v>
      </c>
      <c r="R37">
        <v>2483.2089090661511</v>
      </c>
    </row>
    <row r="38" spans="5:23" ht="14.7" thickBot="1" x14ac:dyDescent="0.6">
      <c r="N38" s="11" t="s">
        <v>235</v>
      </c>
      <c r="O38" s="155">
        <f>K25</f>
        <v>2483.2089090661511</v>
      </c>
      <c r="P38" s="173" t="s">
        <v>240</v>
      </c>
      <c r="U38" s="311" t="s">
        <v>270</v>
      </c>
      <c r="V38" s="312"/>
      <c r="W38" s="313"/>
    </row>
    <row r="39" spans="5:23" ht="29.1" thickBot="1" x14ac:dyDescent="0.6">
      <c r="M39" s="66" t="s">
        <v>230</v>
      </c>
      <c r="N39" s="153" t="s">
        <v>211</v>
      </c>
      <c r="O39" s="202">
        <f>G12</f>
        <v>600</v>
      </c>
      <c r="U39" s="11" t="s">
        <v>264</v>
      </c>
      <c r="V39" s="22">
        <f>O39</f>
        <v>600</v>
      </c>
      <c r="W39" s="115" t="s">
        <v>265</v>
      </c>
    </row>
    <row r="40" spans="5:23" ht="29.1" thickBot="1" x14ac:dyDescent="0.6">
      <c r="N40" s="153" t="s">
        <v>229</v>
      </c>
      <c r="O40" s="172">
        <f>G16</f>
        <v>2.7831731234863462</v>
      </c>
      <c r="U40" s="10" t="s">
        <v>271</v>
      </c>
      <c r="V40" s="195">
        <f>O40</f>
        <v>2.7831731234863462</v>
      </c>
      <c r="W40" s="173" t="s">
        <v>263</v>
      </c>
    </row>
    <row r="41" spans="5:23" ht="14.7" thickBot="1" x14ac:dyDescent="0.6">
      <c r="E41" s="288" t="s">
        <v>238</v>
      </c>
      <c r="F41" s="289"/>
      <c r="G41" s="290"/>
      <c r="U41" s="115" t="s">
        <v>266</v>
      </c>
      <c r="V41" s="197">
        <f>'costo idrogeno in 20y'!B24</f>
        <v>80</v>
      </c>
      <c r="W41" s="115" t="s">
        <v>265</v>
      </c>
    </row>
    <row r="42" spans="5:23" ht="29.1" thickBot="1" x14ac:dyDescent="0.6">
      <c r="E42" s="142" t="s">
        <v>226</v>
      </c>
      <c r="F42" s="166">
        <f>F34</f>
        <v>337086</v>
      </c>
      <c r="G42" s="115" t="s">
        <v>239</v>
      </c>
      <c r="U42" s="10" t="s">
        <v>272</v>
      </c>
      <c r="V42" s="195">
        <f>'costo idrogeno in 20y'!B25</f>
        <v>0.19865671272529209</v>
      </c>
      <c r="W42" s="173" t="s">
        <v>263</v>
      </c>
    </row>
    <row r="43" spans="5:23" ht="29.1" thickBot="1" x14ac:dyDescent="0.6">
      <c r="E43" s="142" t="s">
        <v>244</v>
      </c>
      <c r="F43" s="166">
        <f>G14*365</f>
        <v>338619.39669083874</v>
      </c>
      <c r="G43" s="115" t="s">
        <v>239</v>
      </c>
      <c r="U43" s="196" t="s">
        <v>268</v>
      </c>
      <c r="V43" s="115">
        <f>S27</f>
        <v>225000</v>
      </c>
      <c r="W43" s="199" t="s">
        <v>267</v>
      </c>
    </row>
    <row r="44" spans="5:23" ht="14.7" thickBot="1" x14ac:dyDescent="0.6">
      <c r="E44" s="11" t="s">
        <v>241</v>
      </c>
      <c r="F44" s="166">
        <f>K23</f>
        <v>1015.8581900725163</v>
      </c>
      <c r="G44" s="115" t="s">
        <v>240</v>
      </c>
      <c r="U44" s="43" t="s">
        <v>269</v>
      </c>
      <c r="V44" s="115">
        <f>S29</f>
        <v>1.8000000000000002E-2</v>
      </c>
      <c r="W44" s="173" t="s">
        <v>284</v>
      </c>
    </row>
    <row r="45" spans="5:23" ht="14.7" thickBot="1" x14ac:dyDescent="0.6">
      <c r="E45" s="11" t="s">
        <v>242</v>
      </c>
      <c r="F45" s="166">
        <f>K25</f>
        <v>2483.2089090661511</v>
      </c>
      <c r="G45" s="115" t="s">
        <v>240</v>
      </c>
      <c r="U45" s="198" t="s">
        <v>273</v>
      </c>
      <c r="V45" s="115">
        <f>S28</f>
        <v>0.45</v>
      </c>
      <c r="W45" s="199" t="s">
        <v>263</v>
      </c>
    </row>
    <row r="46" spans="5:23" ht="29.1" thickBot="1" x14ac:dyDescent="0.6">
      <c r="E46" s="10" t="s">
        <v>243</v>
      </c>
      <c r="F46" s="167">
        <f>O25</f>
        <v>1805.9701156844733</v>
      </c>
      <c r="G46" s="115" t="s">
        <v>240</v>
      </c>
      <c r="U46" s="45"/>
    </row>
  </sheetData>
  <mergeCells count="22">
    <mergeCell ref="U38:W38"/>
    <mergeCell ref="G1:H1"/>
    <mergeCell ref="J2:L2"/>
    <mergeCell ref="A1:B1"/>
    <mergeCell ref="D1:E1"/>
    <mergeCell ref="J22:K22"/>
    <mergeCell ref="A11:D11"/>
    <mergeCell ref="Q1:R1"/>
    <mergeCell ref="E41:G41"/>
    <mergeCell ref="Q11:R11"/>
    <mergeCell ref="J11:K11"/>
    <mergeCell ref="R22:S22"/>
    <mergeCell ref="A21:S21"/>
    <mergeCell ref="Q27:Q29"/>
    <mergeCell ref="E33:F33"/>
    <mergeCell ref="F11:G11"/>
    <mergeCell ref="M11:N11"/>
    <mergeCell ref="J24:K24"/>
    <mergeCell ref="N22:P22"/>
    <mergeCell ref="N34:P34"/>
    <mergeCell ref="G22:I22"/>
    <mergeCell ref="D22:F22"/>
  </mergeCells>
  <pageMargins left="0.7" right="0.7" top="0.75" bottom="0.75" header="0.3" footer="0.3"/>
  <pageSetup paperSize="9" orientation="portrait" verticalDpi="0" r:id="rId1"/>
  <ignoredErrors>
    <ignoredError sqref="H26" formula="1"/>
  </ignoredError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B0B58-1F1B-4785-BCBE-77BBA9004F38}">
  <dimension ref="A1:AH72"/>
  <sheetViews>
    <sheetView topLeftCell="C12" zoomScale="75" zoomScaleNormal="75" workbookViewId="0">
      <selection activeCell="E31" sqref="E31"/>
    </sheetView>
  </sheetViews>
  <sheetFormatPr defaultRowHeight="14.4" x14ac:dyDescent="0.55000000000000004"/>
  <cols>
    <col min="1" max="1" width="14" style="72" customWidth="1"/>
    <col min="2" max="2" width="16.62890625" style="72" bestFit="1" customWidth="1"/>
    <col min="3" max="3" width="24.05078125" style="72" bestFit="1" customWidth="1"/>
    <col min="4" max="4" width="22.578125" style="72" bestFit="1" customWidth="1"/>
    <col min="5" max="5" width="16.15625" style="72" customWidth="1"/>
    <col min="6" max="6" width="19.83984375" style="72" customWidth="1"/>
    <col min="7" max="7" width="16.15625" style="72" customWidth="1"/>
    <col min="8" max="8" width="20.68359375" style="72" bestFit="1" customWidth="1"/>
    <col min="9" max="9" width="24.41796875" style="72" bestFit="1" customWidth="1"/>
    <col min="10" max="10" width="26.68359375" style="72" bestFit="1" customWidth="1"/>
    <col min="11" max="11" width="16.578125" style="72" bestFit="1" customWidth="1"/>
    <col min="12" max="13" width="8.89453125" style="72" bestFit="1" customWidth="1"/>
    <col min="14" max="15" width="12.26171875" style="72" bestFit="1" customWidth="1"/>
    <col min="16" max="17" width="8.83984375" style="72"/>
    <col min="18" max="21" width="8.89453125" style="72" bestFit="1" customWidth="1"/>
    <col min="22" max="22" width="8.83984375" style="72"/>
    <col min="23" max="23" width="25.62890625" style="72" bestFit="1" customWidth="1"/>
    <col min="24" max="24" width="28.05078125" style="72" bestFit="1" customWidth="1"/>
    <col min="25" max="25" width="25.05078125" style="72" bestFit="1" customWidth="1"/>
    <col min="26" max="26" width="27.20703125" style="72" bestFit="1" customWidth="1"/>
    <col min="27" max="27" width="27.62890625" style="72" bestFit="1" customWidth="1"/>
    <col min="28" max="28" width="17.62890625" style="72" bestFit="1" customWidth="1"/>
    <col min="29" max="16384" width="8.83984375" style="72"/>
  </cols>
  <sheetData>
    <row r="1" spans="1:29" ht="26.1" thickBot="1" x14ac:dyDescent="1">
      <c r="A1" s="325" t="s">
        <v>327</v>
      </c>
      <c r="B1" s="326"/>
      <c r="C1" s="326"/>
      <c r="D1" s="326"/>
      <c r="E1" s="326"/>
      <c r="F1" s="326"/>
      <c r="G1" s="326"/>
      <c r="H1" s="326"/>
      <c r="L1" s="308" t="s">
        <v>194</v>
      </c>
      <c r="M1" s="309"/>
      <c r="N1" s="309"/>
      <c r="O1" s="310"/>
      <c r="P1" s="93"/>
      <c r="R1" s="327" t="s">
        <v>195</v>
      </c>
      <c r="S1" s="327"/>
      <c r="T1" s="327"/>
      <c r="U1" s="327"/>
      <c r="V1" s="83"/>
    </row>
    <row r="2" spans="1:29" s="91" customFormat="1" ht="14.7" thickBot="1" x14ac:dyDescent="0.6">
      <c r="A2" s="87" t="s">
        <v>52</v>
      </c>
      <c r="B2" s="87" t="s">
        <v>53</v>
      </c>
      <c r="C2" s="87" t="s">
        <v>54</v>
      </c>
      <c r="D2" s="87" t="s">
        <v>176</v>
      </c>
      <c r="E2" s="87" t="s">
        <v>177</v>
      </c>
      <c r="F2" s="126" t="s">
        <v>178</v>
      </c>
      <c r="G2" s="88" t="s">
        <v>159</v>
      </c>
      <c r="H2" s="88" t="s">
        <v>56</v>
      </c>
      <c r="I2" s="87" t="s">
        <v>179</v>
      </c>
      <c r="J2" s="87" t="s">
        <v>180</v>
      </c>
      <c r="K2" s="87" t="s">
        <v>59</v>
      </c>
      <c r="L2" s="89" t="s">
        <v>60</v>
      </c>
      <c r="M2" s="87" t="s">
        <v>61</v>
      </c>
      <c r="N2" s="90" t="s">
        <v>62</v>
      </c>
      <c r="O2" s="88" t="s">
        <v>63</v>
      </c>
      <c r="R2" s="89" t="s">
        <v>60</v>
      </c>
      <c r="S2" s="87" t="s">
        <v>61</v>
      </c>
      <c r="T2" s="90" t="s">
        <v>62</v>
      </c>
      <c r="U2" s="88" t="s">
        <v>63</v>
      </c>
      <c r="W2" s="87" t="s">
        <v>160</v>
      </c>
      <c r="X2" s="87" t="s">
        <v>170</v>
      </c>
      <c r="Y2" s="87" t="s">
        <v>161</v>
      </c>
      <c r="Z2" s="87" t="s">
        <v>162</v>
      </c>
      <c r="AA2" s="87" t="s">
        <v>163</v>
      </c>
      <c r="AB2" s="92"/>
      <c r="AC2" s="92"/>
    </row>
    <row r="3" spans="1:29" ht="14.7" thickBot="1" x14ac:dyDescent="0.6">
      <c r="A3" s="160">
        <v>0.27960951063368056</v>
      </c>
      <c r="B3" s="161">
        <v>4.9038569132486964</v>
      </c>
      <c r="C3" s="94">
        <f>A3*B3</f>
        <v>1.3711650317310593</v>
      </c>
      <c r="D3" s="95">
        <f>B41*10^3/(B35*B32)</f>
        <v>0.22371353060061147</v>
      </c>
      <c r="E3" s="96">
        <f>-C41*10^3/B32/B35</f>
        <v>1.5218254996458862E-2</v>
      </c>
      <c r="F3" s="94">
        <f>$D$3/(A3+$D$3-$E$3)</f>
        <v>0.45833095046030781</v>
      </c>
      <c r="G3" s="97">
        <v>0.83</v>
      </c>
      <c r="H3" s="98">
        <v>100</v>
      </c>
      <c r="I3" s="99">
        <f>24*365</f>
        <v>8760</v>
      </c>
      <c r="J3" s="99">
        <f>I3*3600</f>
        <v>31536000</v>
      </c>
      <c r="K3" s="99">
        <v>1200</v>
      </c>
      <c r="L3" s="100">
        <f>$I$3*$H$3*C3*$K$3/10^6</f>
        <v>1441.3686813556894</v>
      </c>
      <c r="M3" s="101">
        <f>$I$3*$H$4*C3*$K$3/10^6</f>
        <v>7206.8434067784483</v>
      </c>
      <c r="N3" s="80">
        <f>$I$3*$H$5*C3*$K$3/10^6</f>
        <v>14413.686813556897</v>
      </c>
      <c r="O3" s="98">
        <f>$I$3*$H$6*C3*$K$3/10^6</f>
        <v>28827.373627113793</v>
      </c>
      <c r="R3" s="100">
        <f t="shared" ref="R3:R29" si="0">$G$3*B3*$B$36*$J$3*$H$3*$K$3/$B$35/$B$34/1000/1000</f>
        <v>159.64081410555639</v>
      </c>
      <c r="S3" s="101">
        <f>$G$3*B3*$B$36*$J$3*$H$4*$K$3/$B$35/$B$34/1000/1000</f>
        <v>798.20407052778171</v>
      </c>
      <c r="T3" s="80">
        <f t="shared" ref="T3:T29" si="1">$G$3*B3*$B$36*$J$3*$H$5*$K$3/$B$35/$B$34/1000/1000</f>
        <v>1596.4081410555634</v>
      </c>
      <c r="U3" s="98">
        <f t="shared" ref="U3:U29" si="2">$G$3*B3*$B$36*$J$3*$H$6*$K$3/$B$35/$B$34/1000/1000</f>
        <v>3192.8162821111268</v>
      </c>
      <c r="W3" s="80">
        <f>ROUNDUP('output H2 PROVA'!$K$3/'polarization curve'!S3,0)</f>
        <v>423</v>
      </c>
      <c r="X3" s="80">
        <f t="shared" ref="X3:X29" si="3">W3*M3/1000</f>
        <v>3048.4947610672839</v>
      </c>
      <c r="Y3" s="80">
        <f t="shared" ref="Y3:Y29" si="4">$K$3*$H$4*C3/1000/1000</f>
        <v>0.82269901903863563</v>
      </c>
      <c r="Z3" s="80">
        <f t="shared" ref="Z3:Z29" si="5">Y3*W3/1000</f>
        <v>0.34800168505334289</v>
      </c>
      <c r="AA3" s="80">
        <f>'costo electrolyser'!$B$3*((W3*S3/365/24/3600)^0.79)/((B3/1000)^0.32)/10^6</f>
        <v>101.0528432993131</v>
      </c>
    </row>
    <row r="4" spans="1:29" ht="14.7" thickBot="1" x14ac:dyDescent="0.6">
      <c r="A4" s="158">
        <v>0.32450934516059027</v>
      </c>
      <c r="B4" s="159">
        <v>9.9594646030002139</v>
      </c>
      <c r="C4" s="102">
        <f t="shared" ref="C4:C29" si="6">A4*B4</f>
        <v>3.2319393364696776</v>
      </c>
      <c r="D4" s="103"/>
      <c r="E4" s="96"/>
      <c r="F4" s="102">
        <f t="shared" ref="F4:F29" si="7">$D$3/(A4+$D$3-$E$3)</f>
        <v>0.4197215594109342</v>
      </c>
      <c r="G4" s="104"/>
      <c r="H4" s="105">
        <v>500</v>
      </c>
      <c r="I4" s="72" t="s">
        <v>64</v>
      </c>
      <c r="K4" s="72" t="s">
        <v>217</v>
      </c>
      <c r="L4" s="106">
        <f>$I$3*$H$3*C4*$K$3/10^6</f>
        <v>3397.4146304969254</v>
      </c>
      <c r="M4" s="107">
        <f t="shared" ref="M4:M29" si="8">$I$3*$H$4*C4*$K$3/10^6</f>
        <v>16987.073152484623</v>
      </c>
      <c r="N4" s="80">
        <f t="shared" ref="N4:N29" si="9">$I$3*$H$5*C4*$K$3/10^6</f>
        <v>33974.146304969247</v>
      </c>
      <c r="O4" s="104">
        <f t="shared" ref="O4:O29" si="10">$I$3*$H$6*C4*$K$3/10^6</f>
        <v>67948.292609938493</v>
      </c>
      <c r="R4" s="100">
        <f t="shared" si="0"/>
        <v>324.22174329412229</v>
      </c>
      <c r="S4" s="101">
        <f t="shared" ref="S4:S29" si="11">$G$3*B4*$B$36*$J$3*$H$4*$K$3/$B$35/$B$34/1000/1000</f>
        <v>1621.1087164706112</v>
      </c>
      <c r="T4" s="80">
        <f t="shared" si="1"/>
        <v>3242.2174329412223</v>
      </c>
      <c r="U4" s="98">
        <f t="shared" si="2"/>
        <v>6484.4348658824447</v>
      </c>
      <c r="W4" s="80">
        <f>ROUNDUP('output H2 PROVA'!$K$3/'polarization curve'!S4,0)</f>
        <v>208</v>
      </c>
      <c r="X4" s="81">
        <f t="shared" si="3"/>
        <v>3533.3112157168016</v>
      </c>
      <c r="Y4" s="81">
        <f t="shared" si="4"/>
        <v>1.9391636018818064</v>
      </c>
      <c r="Z4" s="81">
        <f t="shared" si="5"/>
        <v>0.40334602919141571</v>
      </c>
      <c r="AA4" s="81">
        <f>'costo electrolyser'!$B$3*((W4*S4/365/24/3600)^0.79)/((B4/1000)^0.32)/10^6</f>
        <v>80.46885789019737</v>
      </c>
    </row>
    <row r="5" spans="1:29" ht="14.7" thickBot="1" x14ac:dyDescent="0.6">
      <c r="A5" s="158">
        <v>0.34635959201388888</v>
      </c>
      <c r="B5" s="159">
        <v>14.916769663492838</v>
      </c>
      <c r="C5" s="102">
        <f t="shared" si="6"/>
        <v>5.1665662548125342</v>
      </c>
      <c r="D5" s="103"/>
      <c r="E5" s="96"/>
      <c r="F5" s="102">
        <f t="shared" si="7"/>
        <v>0.4031928773753039</v>
      </c>
      <c r="G5" s="104"/>
      <c r="H5" s="104">
        <v>1000</v>
      </c>
      <c r="L5" s="106">
        <f t="shared" ref="L5:L22" si="12">$I$3*$H$3*C5*$K$3/10^6</f>
        <v>5431.0944470589366</v>
      </c>
      <c r="M5" s="107">
        <f t="shared" si="8"/>
        <v>27155.472235294681</v>
      </c>
      <c r="N5" s="80">
        <f t="shared" si="9"/>
        <v>54310.944470589362</v>
      </c>
      <c r="O5" s="104">
        <f t="shared" si="10"/>
        <v>108621.88894117872</v>
      </c>
      <c r="R5" s="100">
        <f t="shared" si="0"/>
        <v>485.60251553658952</v>
      </c>
      <c r="S5" s="101">
        <f t="shared" si="11"/>
        <v>2428.0125776829477</v>
      </c>
      <c r="T5" s="80">
        <f t="shared" si="1"/>
        <v>4856.0251553658954</v>
      </c>
      <c r="U5" s="98">
        <f t="shared" si="2"/>
        <v>9712.0503107317909</v>
      </c>
      <c r="W5" s="80">
        <f>ROUNDUP('output H2 PROVA'!$K$3/'polarization curve'!S5,0)</f>
        <v>139</v>
      </c>
      <c r="X5" s="81">
        <f t="shared" si="3"/>
        <v>3774.6106407059606</v>
      </c>
      <c r="Y5" s="81">
        <f t="shared" si="4"/>
        <v>3.0999397528875208</v>
      </c>
      <c r="Z5" s="81">
        <f t="shared" si="5"/>
        <v>0.43089162565136535</v>
      </c>
      <c r="AA5" s="81">
        <f>'costo electrolyser'!$B$3*((W5*S5/365/24/3600)^0.79)/((B5/1000)^0.32)/10^6</f>
        <v>70.761287583990779</v>
      </c>
    </row>
    <row r="6" spans="1:29" ht="14.7" thickBot="1" x14ac:dyDescent="0.6">
      <c r="A6" s="158">
        <v>0.36625230577256945</v>
      </c>
      <c r="B6" s="159">
        <v>19.972578684488937</v>
      </c>
      <c r="C6" s="102">
        <f t="shared" si="6"/>
        <v>7.315002995418145</v>
      </c>
      <c r="D6" s="103"/>
      <c r="E6" s="96"/>
      <c r="F6" s="102">
        <f t="shared" si="7"/>
        <v>0.38923788085325928</v>
      </c>
      <c r="G6" s="104"/>
      <c r="H6" s="77">
        <v>2000</v>
      </c>
      <c r="L6" s="106">
        <f t="shared" si="12"/>
        <v>7689.5311487835543</v>
      </c>
      <c r="M6" s="107">
        <f t="shared" si="8"/>
        <v>38447.65574391777</v>
      </c>
      <c r="N6" s="80">
        <f t="shared" si="9"/>
        <v>76895.311487835541</v>
      </c>
      <c r="O6" s="104">
        <f t="shared" si="10"/>
        <v>153790.62297567108</v>
      </c>
      <c r="R6" s="100">
        <f t="shared" si="0"/>
        <v>650.1899988894304</v>
      </c>
      <c r="S6" s="101">
        <f t="shared" si="11"/>
        <v>3250.9499944471518</v>
      </c>
      <c r="T6" s="80">
        <f t="shared" si="1"/>
        <v>6501.8999888943035</v>
      </c>
      <c r="U6" s="98">
        <f t="shared" si="2"/>
        <v>13003.799977788607</v>
      </c>
      <c r="W6" s="80">
        <f>ROUNDUP('output H2 PROVA'!$K$3/'polarization curve'!S6,0)</f>
        <v>104</v>
      </c>
      <c r="X6" s="81">
        <f t="shared" si="3"/>
        <v>3998.5561973674485</v>
      </c>
      <c r="Y6" s="81">
        <f t="shared" si="4"/>
        <v>4.3890017972508879</v>
      </c>
      <c r="Z6" s="81">
        <f t="shared" si="5"/>
        <v>0.45645618691409229</v>
      </c>
      <c r="AA6" s="81">
        <f>'costo electrolyser'!$B$3*((W6*S6/365/24/3600)^0.79)/((B6/1000)^0.32)/10^6</f>
        <v>64.542721001969298</v>
      </c>
    </row>
    <row r="7" spans="1:29" ht="14.7" thickBot="1" x14ac:dyDescent="0.6">
      <c r="A7" s="158">
        <v>0.40051540798611113</v>
      </c>
      <c r="B7" s="159">
        <v>29.99098036024305</v>
      </c>
      <c r="C7" s="102">
        <f t="shared" si="6"/>
        <v>12.011849734886191</v>
      </c>
      <c r="D7" s="103"/>
      <c r="E7" s="96"/>
      <c r="F7" s="102">
        <f t="shared" si="7"/>
        <v>0.36733925467738382</v>
      </c>
      <c r="G7" s="104"/>
      <c r="L7" s="106">
        <f t="shared" si="12"/>
        <v>12626.856441312362</v>
      </c>
      <c r="M7" s="107">
        <f t="shared" si="8"/>
        <v>63134.282206561824</v>
      </c>
      <c r="N7" s="80">
        <f t="shared" si="9"/>
        <v>126268.56441312365</v>
      </c>
      <c r="O7" s="104">
        <f t="shared" si="10"/>
        <v>252537.1288262473</v>
      </c>
      <c r="R7" s="100">
        <f t="shared" si="0"/>
        <v>976.33038753595088</v>
      </c>
      <c r="S7" s="101">
        <f t="shared" si="11"/>
        <v>4881.6519376797542</v>
      </c>
      <c r="T7" s="80">
        <f t="shared" si="1"/>
        <v>9763.3038753595083</v>
      </c>
      <c r="U7" s="98">
        <f t="shared" si="2"/>
        <v>19526.607750719017</v>
      </c>
      <c r="W7" s="80">
        <f>ROUNDUP('output H2 PROVA'!$K$3/'polarization curve'!S7,0)</f>
        <v>70</v>
      </c>
      <c r="X7" s="81">
        <f t="shared" si="3"/>
        <v>4419.3997544593276</v>
      </c>
      <c r="Y7" s="81">
        <f t="shared" si="4"/>
        <v>7.2071098409317145</v>
      </c>
      <c r="Z7" s="81">
        <f t="shared" si="5"/>
        <v>0.50449768886522006</v>
      </c>
      <c r="AA7" s="81">
        <f>'costo electrolyser'!$B$3*((W7*S7/365/24/3600)^0.79)/((B7/1000)^0.32)/10^6</f>
        <v>57.147856988008151</v>
      </c>
    </row>
    <row r="8" spans="1:29" ht="14.7" thickBot="1" x14ac:dyDescent="0.6">
      <c r="A8" s="158">
        <v>0.43173302544487846</v>
      </c>
      <c r="B8" s="159">
        <v>39.920806884765625</v>
      </c>
      <c r="C8" s="102">
        <f t="shared" si="6"/>
        <v>17.235130734560595</v>
      </c>
      <c r="D8" s="103"/>
      <c r="E8" s="96"/>
      <c r="F8" s="102">
        <f t="shared" si="7"/>
        <v>0.34942774356280554</v>
      </c>
      <c r="G8" s="104"/>
      <c r="L8" s="106">
        <f t="shared" si="12"/>
        <v>18117.569428170096</v>
      </c>
      <c r="M8" s="107">
        <f t="shared" si="8"/>
        <v>90587.847140850485</v>
      </c>
      <c r="N8" s="80">
        <f t="shared" si="9"/>
        <v>181175.69428170097</v>
      </c>
      <c r="O8" s="104">
        <f t="shared" si="10"/>
        <v>362351.38856340194</v>
      </c>
      <c r="R8" s="100">
        <f t="shared" si="0"/>
        <v>1299.587288857643</v>
      </c>
      <c r="S8" s="101">
        <f t="shared" si="11"/>
        <v>6497.9364442882152</v>
      </c>
      <c r="T8" s="80">
        <f t="shared" si="1"/>
        <v>12995.87288857643</v>
      </c>
      <c r="U8" s="98">
        <f t="shared" si="2"/>
        <v>25991.745777152861</v>
      </c>
      <c r="W8" s="80">
        <f>ROUNDUP('output H2 PROVA'!$K$3/'polarization curve'!S8,0)</f>
        <v>52</v>
      </c>
      <c r="X8" s="81">
        <f t="shared" si="3"/>
        <v>4710.5680513242251</v>
      </c>
      <c r="Y8" s="81">
        <f t="shared" si="4"/>
        <v>10.341078440736357</v>
      </c>
      <c r="Z8" s="81">
        <f t="shared" si="5"/>
        <v>0.53773607891829056</v>
      </c>
      <c r="AA8" s="81">
        <f>'costo electrolyser'!$B$3*((W8*S8/365/24/3600)^0.79)/((B8/1000)^0.32)/10^6</f>
        <v>51.688413673781383</v>
      </c>
    </row>
    <row r="9" spans="1:29" ht="14.7" thickBot="1" x14ac:dyDescent="0.6">
      <c r="A9" s="158">
        <v>0.46202358669704863</v>
      </c>
      <c r="B9" s="159">
        <v>49.93438720703125</v>
      </c>
      <c r="C9" s="102">
        <f t="shared" si="6"/>
        <v>23.0708646769118</v>
      </c>
      <c r="D9" s="103"/>
      <c r="E9" s="96"/>
      <c r="F9" s="102">
        <f t="shared" si="7"/>
        <v>0.33364241213563056</v>
      </c>
      <c r="G9" s="104"/>
      <c r="L9" s="106">
        <f t="shared" si="12"/>
        <v>24252.092948369685</v>
      </c>
      <c r="M9" s="107">
        <f t="shared" si="8"/>
        <v>121260.46474184842</v>
      </c>
      <c r="N9" s="80">
        <f t="shared" si="9"/>
        <v>242520.92948369685</v>
      </c>
      <c r="O9" s="104">
        <f t="shared" si="10"/>
        <v>485041.85896739369</v>
      </c>
      <c r="R9" s="100">
        <f t="shared" si="0"/>
        <v>1625.570722517587</v>
      </c>
      <c r="S9" s="101">
        <f t="shared" si="11"/>
        <v>8127.8536125879345</v>
      </c>
      <c r="T9" s="80">
        <f t="shared" si="1"/>
        <v>16255.707225175869</v>
      </c>
      <c r="U9" s="98">
        <f t="shared" si="2"/>
        <v>32511.414450351738</v>
      </c>
      <c r="W9" s="80">
        <f>ROUNDUP('output H2 PROVA'!$K$3/'polarization curve'!S9,0)</f>
        <v>42</v>
      </c>
      <c r="X9" s="81">
        <f t="shared" si="3"/>
        <v>5092.9395191576341</v>
      </c>
      <c r="Y9" s="81">
        <f t="shared" si="4"/>
        <v>13.84251880614708</v>
      </c>
      <c r="Z9" s="81">
        <f t="shared" si="5"/>
        <v>0.58138578985817735</v>
      </c>
      <c r="AA9" s="81">
        <f>'costo electrolyser'!$B$3*((W9*S9/365/24/3600)^0.79)/((B9/1000)^0.32)/10^6</f>
        <v>48.50669625683652</v>
      </c>
    </row>
    <row r="10" spans="1:29" ht="14.7" thickBot="1" x14ac:dyDescent="0.6">
      <c r="A10" s="158">
        <v>0.49084404839409723</v>
      </c>
      <c r="B10" s="159">
        <v>59.96682908799913</v>
      </c>
      <c r="C10" s="102">
        <f t="shared" si="6"/>
        <v>29.434361158910402</v>
      </c>
      <c r="D10" s="103"/>
      <c r="E10" s="96"/>
      <c r="F10" s="102">
        <f t="shared" si="7"/>
        <v>0.31989268002491356</v>
      </c>
      <c r="G10" s="104"/>
      <c r="L10" s="106">
        <f t="shared" si="12"/>
        <v>30941.400450246616</v>
      </c>
      <c r="M10" s="107">
        <f t="shared" si="8"/>
        <v>154707.00225123306</v>
      </c>
      <c r="N10" s="80">
        <f t="shared" si="9"/>
        <v>309414.00450246612</v>
      </c>
      <c r="O10" s="104">
        <f t="shared" si="10"/>
        <v>618828.00900493225</v>
      </c>
      <c r="R10" s="100">
        <f t="shared" si="0"/>
        <v>1952.1681778832606</v>
      </c>
      <c r="S10" s="101">
        <f t="shared" si="11"/>
        <v>9760.840889416304</v>
      </c>
      <c r="T10" s="80">
        <f t="shared" si="1"/>
        <v>19521.681778832608</v>
      </c>
      <c r="U10" s="98">
        <f t="shared" si="2"/>
        <v>39043.363557665216</v>
      </c>
      <c r="W10" s="80">
        <f>ROUNDUP('output H2 PROVA'!$K$3/'polarization curve'!S10,0)</f>
        <v>35</v>
      </c>
      <c r="X10" s="81">
        <f t="shared" si="3"/>
        <v>5414.7450787931566</v>
      </c>
      <c r="Y10" s="81">
        <f t="shared" si="4"/>
        <v>17.660616695346242</v>
      </c>
      <c r="Z10" s="81">
        <f t="shared" si="5"/>
        <v>0.6181215843371185</v>
      </c>
      <c r="AA10" s="81">
        <f>'costo electrolyser'!$B$3*((W10*S10/365/24/3600)^0.79)/((B10/1000)^0.32)/10^6</f>
        <v>45.773998520268464</v>
      </c>
    </row>
    <row r="11" spans="1:29" ht="14.7" thickBot="1" x14ac:dyDescent="0.6">
      <c r="A11" s="158">
        <v>0.51875372992621527</v>
      </c>
      <c r="B11" s="159">
        <v>69.977442423502609</v>
      </c>
      <c r="C11" s="102">
        <f t="shared" si="6"/>
        <v>36.301059267888952</v>
      </c>
      <c r="D11" s="103"/>
      <c r="E11" s="96"/>
      <c r="F11" s="102">
        <f t="shared" si="7"/>
        <v>0.3076161382131582</v>
      </c>
      <c r="G11" s="104"/>
      <c r="L11" s="106">
        <f t="shared" si="12"/>
        <v>38159.673502404868</v>
      </c>
      <c r="M11" s="107">
        <f t="shared" si="8"/>
        <v>190798.36751202433</v>
      </c>
      <c r="N11" s="80">
        <f t="shared" si="9"/>
        <v>381596.73502404866</v>
      </c>
      <c r="O11" s="104">
        <f t="shared" si="10"/>
        <v>763193.47004809731</v>
      </c>
      <c r="R11" s="100">
        <f t="shared" si="0"/>
        <v>2278.0550238591572</v>
      </c>
      <c r="S11" s="101">
        <f t="shared" si="11"/>
        <v>11390.275119295786</v>
      </c>
      <c r="T11" s="80">
        <f t="shared" si="1"/>
        <v>22780.550238591572</v>
      </c>
      <c r="U11" s="98">
        <f t="shared" si="2"/>
        <v>45561.100477183143</v>
      </c>
      <c r="W11" s="80">
        <f>ROUNDUP('output H2 PROVA'!$K$3/'polarization curve'!S11,0)</f>
        <v>30</v>
      </c>
      <c r="X11" s="81">
        <f t="shared" si="3"/>
        <v>5723.9510253607295</v>
      </c>
      <c r="Y11" s="81">
        <f t="shared" si="4"/>
        <v>21.780635560733373</v>
      </c>
      <c r="Z11" s="81">
        <f t="shared" si="5"/>
        <v>0.65341906682200124</v>
      </c>
      <c r="AA11" s="81">
        <f>'costo electrolyser'!$B$3*((W11*S11/365/24/3600)^0.79)/((B11/1000)^0.32)/10^6</f>
        <v>43.575559127429067</v>
      </c>
    </row>
    <row r="12" spans="1:29" ht="14.7" thickBot="1" x14ac:dyDescent="0.6">
      <c r="A12" s="158">
        <v>0.5462493896484375</v>
      </c>
      <c r="B12" s="159">
        <v>79.991764492458771</v>
      </c>
      <c r="C12" s="102">
        <f t="shared" si="6"/>
        <v>43.695452530907161</v>
      </c>
      <c r="D12" s="103"/>
      <c r="E12" s="96"/>
      <c r="F12" s="102">
        <f t="shared" si="7"/>
        <v>0.29640955531065777</v>
      </c>
      <c r="G12" s="104"/>
      <c r="L12" s="106">
        <f t="shared" si="12"/>
        <v>45932.65970048961</v>
      </c>
      <c r="M12" s="107">
        <f t="shared" si="8"/>
        <v>229663.29850244807</v>
      </c>
      <c r="N12" s="80">
        <f t="shared" si="9"/>
        <v>459326.59700489615</v>
      </c>
      <c r="O12" s="104">
        <f t="shared" si="10"/>
        <v>918653.19400979229</v>
      </c>
      <c r="R12" s="100">
        <f t="shared" si="0"/>
        <v>2604.0626044401133</v>
      </c>
      <c r="S12" s="101">
        <f t="shared" si="11"/>
        <v>13020.313022200568</v>
      </c>
      <c r="T12" s="80">
        <f t="shared" si="1"/>
        <v>26040.626044401135</v>
      </c>
      <c r="U12" s="98">
        <f t="shared" si="2"/>
        <v>52081.25208880227</v>
      </c>
      <c r="W12" s="80">
        <f>ROUNDUP('output H2 PROVA'!$K$3/'polarization curve'!S12,0)</f>
        <v>26</v>
      </c>
      <c r="X12" s="81">
        <f t="shared" si="3"/>
        <v>5971.2457610636502</v>
      </c>
      <c r="Y12" s="81">
        <f t="shared" si="4"/>
        <v>26.217271518544297</v>
      </c>
      <c r="Z12" s="81">
        <f t="shared" si="5"/>
        <v>0.68164905948215171</v>
      </c>
      <c r="AA12" s="81">
        <f>'costo electrolyser'!$B$3*((W12*S12/365/24/3600)^0.79)/((B12/1000)^0.32)/10^6</f>
        <v>41.442611180868489</v>
      </c>
    </row>
    <row r="13" spans="1:29" ht="14.7" thickBot="1" x14ac:dyDescent="0.6">
      <c r="A13" s="158">
        <v>0.57417907714843752</v>
      </c>
      <c r="B13" s="159">
        <v>90.007781982421875</v>
      </c>
      <c r="C13" s="102">
        <f t="shared" si="6"/>
        <v>51.680585194844753</v>
      </c>
      <c r="D13" s="103"/>
      <c r="E13" s="96"/>
      <c r="F13" s="102">
        <f t="shared" si="7"/>
        <v>0.28583219804486065</v>
      </c>
      <c r="G13" s="104"/>
      <c r="L13" s="106">
        <f t="shared" si="12"/>
        <v>54326.631156820804</v>
      </c>
      <c r="M13" s="107">
        <f t="shared" si="8"/>
        <v>271633.15578410402</v>
      </c>
      <c r="N13" s="80">
        <f t="shared" si="9"/>
        <v>543266.31156820804</v>
      </c>
      <c r="O13" s="104">
        <f t="shared" si="10"/>
        <v>1086532.6231364161</v>
      </c>
      <c r="R13" s="100">
        <f t="shared" si="0"/>
        <v>2930.125377983381</v>
      </c>
      <c r="S13" s="101">
        <f t="shared" si="11"/>
        <v>14650.626889916906</v>
      </c>
      <c r="T13" s="80">
        <f t="shared" si="1"/>
        <v>29301.253779833813</v>
      </c>
      <c r="U13" s="98">
        <f t="shared" si="2"/>
        <v>58602.507559667625</v>
      </c>
      <c r="W13" s="80">
        <f>ROUNDUP('output H2 PROVA'!$K$3/'polarization curve'!S13,0)</f>
        <v>24</v>
      </c>
      <c r="X13" s="81">
        <f t="shared" si="3"/>
        <v>6519.1957388184965</v>
      </c>
      <c r="Y13" s="81">
        <f t="shared" si="4"/>
        <v>31.008351116906852</v>
      </c>
      <c r="Z13" s="81">
        <f t="shared" si="5"/>
        <v>0.74420042680576448</v>
      </c>
      <c r="AA13" s="81">
        <f>'costo electrolyser'!$B$3*((W13*S13/365/24/3600)^0.79)/((B13/1000)^0.32)/10^6</f>
        <v>41.121163598108332</v>
      </c>
    </row>
    <row r="14" spans="1:29" ht="14.7" thickBot="1" x14ac:dyDescent="0.6">
      <c r="A14" s="158">
        <v>0.60167558458116321</v>
      </c>
      <c r="B14" s="159">
        <v>100.0213623046875</v>
      </c>
      <c r="C14" s="102">
        <f t="shared" si="6"/>
        <v>60.180411635277174</v>
      </c>
      <c r="D14" s="103"/>
      <c r="E14" s="96"/>
      <c r="F14" s="102">
        <f t="shared" si="7"/>
        <v>0.27613129722962387</v>
      </c>
      <c r="G14" s="104"/>
      <c r="L14" s="106">
        <f t="shared" si="12"/>
        <v>63261.648711003363</v>
      </c>
      <c r="M14" s="107">
        <f t="shared" si="8"/>
        <v>316308.24355501687</v>
      </c>
      <c r="N14" s="80">
        <f t="shared" si="9"/>
        <v>632616.48711003375</v>
      </c>
      <c r="O14" s="104">
        <f t="shared" si="10"/>
        <v>1265232.9742200675</v>
      </c>
      <c r="R14" s="100">
        <f t="shared" si="0"/>
        <v>3256.1088116433252</v>
      </c>
      <c r="S14" s="101">
        <f t="shared" si="11"/>
        <v>16280.544058216628</v>
      </c>
      <c r="T14" s="80">
        <f t="shared" si="1"/>
        <v>32561.088116433257</v>
      </c>
      <c r="U14" s="98">
        <f t="shared" si="2"/>
        <v>65122.176232866514</v>
      </c>
      <c r="W14" s="80">
        <f>ROUNDUP('output H2 PROVA'!$K$3/'polarization curve'!S14,0)</f>
        <v>21</v>
      </c>
      <c r="X14" s="81">
        <f t="shared" si="3"/>
        <v>6642.473114655354</v>
      </c>
      <c r="Y14" s="81">
        <f t="shared" si="4"/>
        <v>36.108246981166303</v>
      </c>
      <c r="Z14" s="81">
        <f t="shared" si="5"/>
        <v>0.75827318660449239</v>
      </c>
      <c r="AA14" s="81">
        <f>'costo electrolyser'!$B$3*((W14*S14/365/24/3600)^0.79)/((B14/1000)^0.32)/10^6</f>
        <v>38.885145547974943</v>
      </c>
    </row>
    <row r="15" spans="1:29" ht="14.7" thickBot="1" x14ac:dyDescent="0.6">
      <c r="A15" s="158">
        <v>0.65303955078124998</v>
      </c>
      <c r="B15" s="159">
        <v>119.95326148139105</v>
      </c>
      <c r="C15" s="102">
        <f t="shared" si="6"/>
        <v>78.334223992553433</v>
      </c>
      <c r="D15" s="103"/>
      <c r="E15" s="96"/>
      <c r="F15" s="102">
        <f t="shared" si="7"/>
        <v>0.25966858651461472</v>
      </c>
      <c r="G15" s="104"/>
      <c r="L15" s="106">
        <f t="shared" si="12"/>
        <v>82344.936260972157</v>
      </c>
      <c r="M15" s="107">
        <f t="shared" si="8"/>
        <v>411724.68130486086</v>
      </c>
      <c r="N15" s="80">
        <f t="shared" si="9"/>
        <v>823449.36260972172</v>
      </c>
      <c r="O15" s="104">
        <f t="shared" si="10"/>
        <v>1646898.7252194434</v>
      </c>
      <c r="R15" s="100">
        <f t="shared" si="0"/>
        <v>3904.9745243932625</v>
      </c>
      <c r="S15" s="101">
        <f t="shared" si="11"/>
        <v>19524.872621966315</v>
      </c>
      <c r="T15" s="80">
        <f t="shared" si="1"/>
        <v>39049.74524393263</v>
      </c>
      <c r="U15" s="98">
        <f t="shared" si="2"/>
        <v>78099.49048786526</v>
      </c>
      <c r="W15" s="80">
        <f>ROUNDUP('output H2 PROVA'!$K$3/'polarization curve'!S15,0)</f>
        <v>18</v>
      </c>
      <c r="X15" s="81">
        <f t="shared" si="3"/>
        <v>7411.0442634874953</v>
      </c>
      <c r="Y15" s="81">
        <f t="shared" si="4"/>
        <v>47.000534395532057</v>
      </c>
      <c r="Z15" s="81">
        <f t="shared" si="5"/>
        <v>0.84600961911957695</v>
      </c>
      <c r="AA15" s="81">
        <f>'costo electrolyser'!$B$3*((W15*S15/365/24/3600)^0.79)/((B15/1000)^0.32)/10^6</f>
        <v>37.496249807413221</v>
      </c>
    </row>
    <row r="16" spans="1:29" ht="14.7" thickBot="1" x14ac:dyDescent="0.6">
      <c r="A16" s="158">
        <v>0.70317433675130203</v>
      </c>
      <c r="B16" s="159">
        <v>139.9993896484375</v>
      </c>
      <c r="C16" s="102">
        <f t="shared" si="6"/>
        <v>98.443977961627141</v>
      </c>
      <c r="D16" s="103"/>
      <c r="E16" s="96"/>
      <c r="F16" s="102">
        <f t="shared" si="7"/>
        <v>0.24538882021372768</v>
      </c>
      <c r="G16" s="104"/>
      <c r="L16" s="106">
        <f t="shared" si="12"/>
        <v>103484.30963326246</v>
      </c>
      <c r="M16" s="107">
        <f t="shared" si="8"/>
        <v>517421.54816631228</v>
      </c>
      <c r="N16" s="80">
        <f t="shared" si="9"/>
        <v>1034843.0963326246</v>
      </c>
      <c r="O16" s="104">
        <f t="shared" si="10"/>
        <v>2069686.1926652491</v>
      </c>
      <c r="R16" s="100">
        <f t="shared" si="0"/>
        <v>4557.5588629790245</v>
      </c>
      <c r="S16" s="101">
        <f t="shared" si="11"/>
        <v>22787.794314895127</v>
      </c>
      <c r="T16" s="80">
        <f t="shared" si="1"/>
        <v>45575.588629790254</v>
      </c>
      <c r="U16" s="98">
        <f t="shared" si="2"/>
        <v>91151.177259580509</v>
      </c>
      <c r="W16" s="80">
        <f>ROUNDUP('output H2 PROVA'!$K$3/'polarization curve'!S16,0)</f>
        <v>15</v>
      </c>
      <c r="X16" s="81">
        <f t="shared" si="3"/>
        <v>7761.3232224946842</v>
      </c>
      <c r="Y16" s="81">
        <f t="shared" si="4"/>
        <v>59.066386776976287</v>
      </c>
      <c r="Z16" s="81">
        <f t="shared" si="5"/>
        <v>0.88599580165464431</v>
      </c>
      <c r="AA16" s="81">
        <f>'costo electrolyser'!$B$3*((W16*S16/365/24/3600)^0.79)/((B16/1000)^0.32)/10^6</f>
        <v>34.912284487028117</v>
      </c>
    </row>
    <row r="17" spans="1:34" s="189" customFormat="1" ht="14.7" thickBot="1" x14ac:dyDescent="0.6">
      <c r="A17" s="162">
        <v>0.753</v>
      </c>
      <c r="B17" s="184">
        <v>160.02665625678168</v>
      </c>
      <c r="C17" s="185">
        <f t="shared" si="6"/>
        <v>120.5000721613566</v>
      </c>
      <c r="D17" s="186"/>
      <c r="E17" s="187"/>
      <c r="F17" s="185">
        <f t="shared" si="7"/>
        <v>0.23267252193209348</v>
      </c>
      <c r="G17" s="188"/>
      <c r="L17" s="190">
        <f t="shared" si="12"/>
        <v>126669.67585601805</v>
      </c>
      <c r="M17" s="191">
        <f>$I$3*$H$4*C17*$K$3/10^6</f>
        <v>633348.37928009022</v>
      </c>
      <c r="N17" s="192">
        <f t="shared" si="9"/>
        <v>1266696.7585601804</v>
      </c>
      <c r="O17" s="188">
        <f t="shared" si="10"/>
        <v>2533393.5171203609</v>
      </c>
      <c r="R17" s="193">
        <f t="shared" si="0"/>
        <v>5209.529179859057</v>
      </c>
      <c r="S17" s="192">
        <f>$G$3*B17*$B$36*$J$3*$H$4*$K$3/$B$35/$B$34/1000/1000</f>
        <v>26047.645899295287</v>
      </c>
      <c r="T17" s="192">
        <f t="shared" si="1"/>
        <v>52095.291798590573</v>
      </c>
      <c r="U17" s="194">
        <f t="shared" si="2"/>
        <v>104190.58359718115</v>
      </c>
      <c r="W17" s="212">
        <f>ROUNDUP('output H2 PROVA'!$K$3/'polarization curve'!S17,0)</f>
        <v>13</v>
      </c>
      <c r="X17" s="191">
        <f>W17*M17/1000</f>
        <v>8233.5289306411723</v>
      </c>
      <c r="Y17" s="191">
        <f>$K$3*$H$4*C17/1000/1000</f>
        <v>72.300043296813968</v>
      </c>
      <c r="Z17" s="191">
        <f>Y17*W17/1000</f>
        <v>0.93990056285858159</v>
      </c>
      <c r="AA17" s="191">
        <f>'costo electrolyser'!$B$3*((W17*S17/365/24/3600)^0.79)/((B17/1000)^0.32)/10^6</f>
        <v>33.202633386189007</v>
      </c>
      <c r="AB17" s="189">
        <f>S17*W17</f>
        <v>338619.39669083874</v>
      </c>
      <c r="AC17" s="322" t="s">
        <v>169</v>
      </c>
      <c r="AD17" s="323"/>
      <c r="AE17" s="323"/>
      <c r="AF17" s="323"/>
      <c r="AG17" s="323"/>
      <c r="AH17" s="324"/>
    </row>
    <row r="18" spans="1:34" ht="14.7" thickBot="1" x14ac:dyDescent="0.6">
      <c r="A18" s="158">
        <v>0.80061848958333337</v>
      </c>
      <c r="B18" s="159">
        <v>179.96597290039063</v>
      </c>
      <c r="C18" s="102">
        <f t="shared" si="6"/>
        <v>144.08408539990586</v>
      </c>
      <c r="D18" s="103"/>
      <c r="E18" s="96"/>
      <c r="F18" s="102">
        <f t="shared" si="7"/>
        <v>0.22169307199872268</v>
      </c>
      <c r="G18" s="104"/>
      <c r="L18" s="106">
        <f t="shared" si="12"/>
        <v>151461.19057238105</v>
      </c>
      <c r="M18" s="107">
        <f t="shared" si="8"/>
        <v>757305.95286190533</v>
      </c>
      <c r="N18" s="80">
        <f t="shared" si="9"/>
        <v>1514611.9057238107</v>
      </c>
      <c r="O18" s="104">
        <f t="shared" si="10"/>
        <v>3029223.8114476213</v>
      </c>
      <c r="R18" s="100">
        <f t="shared" si="0"/>
        <v>5858.6363618191144</v>
      </c>
      <c r="S18" s="101">
        <f t="shared" si="11"/>
        <v>29293.181809095568</v>
      </c>
      <c r="T18" s="80">
        <f t="shared" si="1"/>
        <v>58586.363618191135</v>
      </c>
      <c r="U18" s="98">
        <f t="shared" si="2"/>
        <v>117172.72723638227</v>
      </c>
      <c r="W18" s="80">
        <f>ROUNDUP('output H2 PROVA'!$K$3/'polarization curve'!S18,0)</f>
        <v>12</v>
      </c>
      <c r="X18" s="81">
        <f t="shared" si="3"/>
        <v>9087.6714343428648</v>
      </c>
      <c r="Y18" s="81">
        <f t="shared" si="4"/>
        <v>86.450451239943519</v>
      </c>
      <c r="Z18" s="81">
        <f t="shared" si="5"/>
        <v>1.0374054148793224</v>
      </c>
      <c r="AA18" s="81">
        <f>'costo electrolyser'!$B$3*((W18*S18/365/24/3600)^0.79)/((B18/1000)^0.32)/10^6</f>
        <v>32.936660099966268</v>
      </c>
    </row>
    <row r="19" spans="1:34" ht="14.7" thickBot="1" x14ac:dyDescent="0.6">
      <c r="A19" s="158">
        <v>0.848297119140625</v>
      </c>
      <c r="B19" s="159">
        <v>200.02365112304688</v>
      </c>
      <c r="C19" s="102">
        <f t="shared" si="6"/>
        <v>169.6794870076701</v>
      </c>
      <c r="D19" s="103"/>
      <c r="E19" s="96"/>
      <c r="F19" s="102">
        <f t="shared" si="7"/>
        <v>0.21169108683322779</v>
      </c>
      <c r="G19" s="104"/>
      <c r="L19" s="106">
        <f t="shared" si="12"/>
        <v>178367.07674246278</v>
      </c>
      <c r="M19" s="107">
        <f t="shared" si="8"/>
        <v>891835.38371231407</v>
      </c>
      <c r="N19" s="80">
        <f t="shared" si="9"/>
        <v>1783670.7674246281</v>
      </c>
      <c r="O19" s="104">
        <f t="shared" si="10"/>
        <v>3567341.5348492563</v>
      </c>
      <c r="R19" s="100">
        <f t="shared" si="0"/>
        <v>6511.5967024606316</v>
      </c>
      <c r="S19" s="101">
        <f t="shared" si="11"/>
        <v>32557.983512303163</v>
      </c>
      <c r="T19" s="80">
        <f t="shared" si="1"/>
        <v>65115.967024606325</v>
      </c>
      <c r="U19" s="98">
        <f t="shared" si="2"/>
        <v>130231.93404921265</v>
      </c>
      <c r="W19" s="80">
        <f>ROUNDUP('output H2 PROVA'!$K$3/'polarization curve'!S19,0)</f>
        <v>11</v>
      </c>
      <c r="X19" s="81">
        <f t="shared" si="3"/>
        <v>9810.1892208354548</v>
      </c>
      <c r="Y19" s="81">
        <f t="shared" si="4"/>
        <v>101.80769220460206</v>
      </c>
      <c r="Z19" s="81">
        <f t="shared" si="5"/>
        <v>1.1198846142506227</v>
      </c>
      <c r="AA19" s="81">
        <f>'costo electrolyser'!$B$3*((W19*S19/365/24/3600)^0.79)/((B19/1000)^0.32)/10^6</f>
        <v>32.314343875715842</v>
      </c>
      <c r="AC19" s="72" t="s">
        <v>316</v>
      </c>
    </row>
    <row r="20" spans="1:34" ht="14.7" thickBot="1" x14ac:dyDescent="0.6">
      <c r="A20" s="158">
        <v>0.8957672119140625</v>
      </c>
      <c r="B20" s="159">
        <v>220.05081176757813</v>
      </c>
      <c r="C20" s="102">
        <f t="shared" si="6"/>
        <v>197.11430213646963</v>
      </c>
      <c r="D20" s="103"/>
      <c r="E20" s="96"/>
      <c r="F20" s="102">
        <f t="shared" si="7"/>
        <v>0.20259089947300346</v>
      </c>
      <c r="G20" s="104"/>
      <c r="L20" s="106">
        <f t="shared" si="12"/>
        <v>207206.55440585691</v>
      </c>
      <c r="M20" s="107">
        <f t="shared" si="8"/>
        <v>1036032.7720292843</v>
      </c>
      <c r="N20" s="80">
        <f t="shared" si="9"/>
        <v>2072065.5440585685</v>
      </c>
      <c r="O20" s="104">
        <f t="shared" si="10"/>
        <v>4144131.0881171371</v>
      </c>
      <c r="R20" s="100">
        <f t="shared" si="0"/>
        <v>7163.5635697805201</v>
      </c>
      <c r="S20" s="101">
        <f t="shared" si="11"/>
        <v>35817.817848902596</v>
      </c>
      <c r="T20" s="80">
        <f t="shared" si="1"/>
        <v>71635.635697805192</v>
      </c>
      <c r="U20" s="98">
        <f t="shared" si="2"/>
        <v>143271.27139561038</v>
      </c>
      <c r="W20" s="80">
        <f>ROUNDUP('output H2 PROVA'!$K$3/'polarization curve'!S20,0)</f>
        <v>10</v>
      </c>
      <c r="X20" s="81">
        <f t="shared" si="3"/>
        <v>10360.327720292842</v>
      </c>
      <c r="Y20" s="81">
        <f t="shared" si="4"/>
        <v>118.26858128188178</v>
      </c>
      <c r="Z20" s="81">
        <f t="shared" si="5"/>
        <v>1.1826858128188178</v>
      </c>
      <c r="AA20" s="81">
        <f>'costo electrolyser'!$B$3*((W20*S20/365/24/3600)^0.79)/((B20/1000)^0.32)/10^6</f>
        <v>31.345318318078519</v>
      </c>
      <c r="AC20" s="72">
        <f>AB17-'output H2 PROVA'!K3</f>
        <v>1533.3966908387374</v>
      </c>
    </row>
    <row r="21" spans="1:34" ht="14.7" thickBot="1" x14ac:dyDescent="0.6">
      <c r="A21" s="158">
        <v>0.94285244411892366</v>
      </c>
      <c r="B21" s="159">
        <v>240.09344312879773</v>
      </c>
      <c r="C21" s="102">
        <f t="shared" si="6"/>
        <v>226.37268967091472</v>
      </c>
      <c r="D21" s="103"/>
      <c r="E21" s="96"/>
      <c r="F21" s="102">
        <f t="shared" si="7"/>
        <v>0.19430579204553367</v>
      </c>
      <c r="G21" s="104"/>
      <c r="L21" s="106">
        <f t="shared" si="12"/>
        <v>237962.97138206556</v>
      </c>
      <c r="M21" s="107">
        <f t="shared" si="8"/>
        <v>1189814.8569103277</v>
      </c>
      <c r="N21" s="80">
        <f t="shared" si="9"/>
        <v>2379629.7138206554</v>
      </c>
      <c r="O21" s="104">
        <f t="shared" si="10"/>
        <v>4759259.4276413107</v>
      </c>
      <c r="R21" s="100">
        <f t="shared" si="0"/>
        <v>7816.0340728815099</v>
      </c>
      <c r="S21" s="101">
        <f t="shared" si="11"/>
        <v>39080.170364407546</v>
      </c>
      <c r="T21" s="80">
        <f t="shared" si="1"/>
        <v>78160.340728815092</v>
      </c>
      <c r="U21" s="98">
        <f t="shared" si="2"/>
        <v>156320.68145763018</v>
      </c>
      <c r="W21" s="80">
        <f>ROUNDUP('output H2 PROVA'!$K$3/'polarization curve'!S21,0)</f>
        <v>9</v>
      </c>
      <c r="X21" s="81">
        <f t="shared" si="3"/>
        <v>10708.333712192949</v>
      </c>
      <c r="Y21" s="81">
        <f t="shared" si="4"/>
        <v>135.82361380254881</v>
      </c>
      <c r="Z21" s="81">
        <f t="shared" si="5"/>
        <v>1.2224125242229393</v>
      </c>
      <c r="AA21" s="81">
        <f>'costo electrolyser'!$B$3*((W21*S21/365/24/3600)^0.79)/((B21/1000)^0.32)/10^6</f>
        <v>30.048113403498743</v>
      </c>
    </row>
    <row r="22" spans="1:34" ht="14.7" thickBot="1" x14ac:dyDescent="0.6">
      <c r="A22" s="158">
        <v>0.98944091796875</v>
      </c>
      <c r="B22" s="159">
        <v>260.0425084431966</v>
      </c>
      <c r="C22" s="102">
        <f t="shared" si="6"/>
        <v>257.29669826493284</v>
      </c>
      <c r="D22" s="108"/>
      <c r="E22" s="109"/>
      <c r="F22" s="102">
        <f t="shared" si="7"/>
        <v>0.18674912052984644</v>
      </c>
      <c r="G22" s="77"/>
      <c r="L22" s="110">
        <f t="shared" si="12"/>
        <v>270470.28921609739</v>
      </c>
      <c r="M22" s="111">
        <f t="shared" si="8"/>
        <v>1352351.446080487</v>
      </c>
      <c r="N22" s="99">
        <f t="shared" si="9"/>
        <v>2704702.892160974</v>
      </c>
      <c r="O22" s="77">
        <f t="shared" si="10"/>
        <v>5409405.784321948</v>
      </c>
      <c r="R22" s="100">
        <f t="shared" si="0"/>
        <v>8465.4586143748656</v>
      </c>
      <c r="S22" s="101">
        <f t="shared" si="11"/>
        <v>42327.29307187433</v>
      </c>
      <c r="T22" s="80">
        <f t="shared" si="1"/>
        <v>84654.58614374866</v>
      </c>
      <c r="U22" s="98">
        <f t="shared" si="2"/>
        <v>169309.17228749732</v>
      </c>
      <c r="W22" s="80">
        <f>ROUNDUP('output H2 PROVA'!$K$3/'polarization curve'!S22,0)</f>
        <v>8</v>
      </c>
      <c r="X22" s="81">
        <f t="shared" si="3"/>
        <v>10818.811568643896</v>
      </c>
      <c r="Y22" s="81">
        <f t="shared" si="4"/>
        <v>154.3780189589597</v>
      </c>
      <c r="Z22" s="81">
        <f t="shared" si="5"/>
        <v>1.2350241516716776</v>
      </c>
      <c r="AA22" s="81">
        <f>'costo electrolyser'!$B$3*((W22*S22/365/24/3600)^0.79)/((B22/1000)^0.32)/10^6</f>
        <v>28.424891718686208</v>
      </c>
    </row>
    <row r="23" spans="1:34" ht="14.7" thickBot="1" x14ac:dyDescent="0.6">
      <c r="A23" s="158">
        <v>1.0357140435112848</v>
      </c>
      <c r="B23" s="159">
        <v>280.0603442721897</v>
      </c>
      <c r="C23" s="102">
        <f>A23*B23</f>
        <v>290.06243159331211</v>
      </c>
      <c r="D23" s="112"/>
      <c r="E23" s="112"/>
      <c r="F23" s="102">
        <f t="shared" si="7"/>
        <v>0.17980377349983132</v>
      </c>
      <c r="L23" s="100">
        <f>$I$3*$H$3*C23*$K$3/10^6</f>
        <v>304913.62809088972</v>
      </c>
      <c r="M23" s="101">
        <f>$I$3*$H$4*C23*$K$3/10^6</f>
        <v>1524568.1404544485</v>
      </c>
      <c r="N23" s="80">
        <f>$I$3*$H$5*C23*$K$3/10^6</f>
        <v>3049136.2809088971</v>
      </c>
      <c r="O23" s="98">
        <f>$I$3*$H$6*C23*$K$3/10^6</f>
        <v>6098272.5618177941</v>
      </c>
      <c r="R23" s="100">
        <f t="shared" si="0"/>
        <v>9117.1219204020344</v>
      </c>
      <c r="S23" s="101">
        <f t="shared" si="11"/>
        <v>45585.609602010176</v>
      </c>
      <c r="T23" s="80">
        <f t="shared" si="1"/>
        <v>91171.219204020352</v>
      </c>
      <c r="U23" s="98">
        <f t="shared" si="2"/>
        <v>182342.4384080407</v>
      </c>
      <c r="W23" s="80">
        <f>ROUNDUP('output H2 PROVA'!$K$3/'polarization curve'!S23,0)</f>
        <v>8</v>
      </c>
      <c r="X23" s="81">
        <f t="shared" si="3"/>
        <v>12196.545123635588</v>
      </c>
      <c r="Y23" s="81">
        <f t="shared" si="4"/>
        <v>174.03745895598726</v>
      </c>
      <c r="Z23" s="81">
        <f t="shared" si="5"/>
        <v>1.3922996716478981</v>
      </c>
      <c r="AA23" s="81">
        <f>'costo electrolyser'!$B$3*((W23*S23/365/24/3600)^0.79)/((B23/1000)^0.32)/10^6</f>
        <v>29.433115632951534</v>
      </c>
    </row>
    <row r="24" spans="1:34" ht="14.7" thickBot="1" x14ac:dyDescent="0.6">
      <c r="A24" s="158">
        <v>1.0825449625651042</v>
      </c>
      <c r="B24" s="159">
        <v>300.10223388671875</v>
      </c>
      <c r="C24" s="102">
        <f t="shared" si="6"/>
        <v>324.8741615486021</v>
      </c>
      <c r="D24" s="112"/>
      <c r="E24" s="112"/>
      <c r="F24" s="102">
        <f t="shared" si="7"/>
        <v>0.17328160965598219</v>
      </c>
      <c r="L24" s="106">
        <f>$I$3*$H$3*C24*$K$3/10^6</f>
        <v>341507.71861989057</v>
      </c>
      <c r="M24" s="107">
        <f t="shared" si="8"/>
        <v>1707538.5930994526</v>
      </c>
      <c r="N24" s="80">
        <f t="shared" si="9"/>
        <v>3415077.1861989051</v>
      </c>
      <c r="O24" s="104">
        <f t="shared" si="10"/>
        <v>6830154.3723978102</v>
      </c>
      <c r="R24" s="100">
        <f t="shared" si="0"/>
        <v>9769.5682765820129</v>
      </c>
      <c r="S24" s="101">
        <f t="shared" si="11"/>
        <v>48847.841382910075</v>
      </c>
      <c r="T24" s="80">
        <f t="shared" si="1"/>
        <v>97695.682765820151</v>
      </c>
      <c r="U24" s="98">
        <f t="shared" si="2"/>
        <v>195391.3655316403</v>
      </c>
      <c r="W24" s="80">
        <f>ROUNDUP('output H2 PROVA'!$K$3/'polarization curve'!S24,0)</f>
        <v>7</v>
      </c>
      <c r="X24" s="81">
        <f t="shared" si="3"/>
        <v>11952.770151696168</v>
      </c>
      <c r="Y24" s="81">
        <f t="shared" si="4"/>
        <v>194.92449692916125</v>
      </c>
      <c r="Z24" s="81">
        <f t="shared" si="5"/>
        <v>1.3644714785041288</v>
      </c>
      <c r="AA24" s="81">
        <f>'costo electrolyser'!$B$3*((W24*S24/365/24/3600)^0.79)/((B24/1000)^0.32)/10^6</f>
        <v>27.360931270272541</v>
      </c>
    </row>
    <row r="25" spans="1:34" ht="14.7" thickBot="1" x14ac:dyDescent="0.6">
      <c r="A25" s="158">
        <v>1.1296963161892362</v>
      </c>
      <c r="B25" s="159">
        <v>320.18025716145831</v>
      </c>
      <c r="C25" s="102">
        <f t="shared" si="6"/>
        <v>361.70645703182174</v>
      </c>
      <c r="D25" s="112"/>
      <c r="E25" s="112"/>
      <c r="F25" s="102">
        <f t="shared" si="7"/>
        <v>0.16717600975268412</v>
      </c>
      <c r="I25" s="72">
        <v>0.83</v>
      </c>
      <c r="L25" s="106">
        <f t="shared" ref="L25:L29" si="13">$I$3*$H$3*C25*$K$3/10^6</f>
        <v>380225.82763185102</v>
      </c>
      <c r="M25" s="107">
        <f t="shared" si="8"/>
        <v>1901129.138159255</v>
      </c>
      <c r="N25" s="80">
        <f t="shared" si="9"/>
        <v>3802258.2763185101</v>
      </c>
      <c r="O25" s="104">
        <f t="shared" si="10"/>
        <v>7604516.5526370201</v>
      </c>
      <c r="R25" s="100">
        <f t="shared" si="0"/>
        <v>10423.190932771284</v>
      </c>
      <c r="S25" s="101">
        <f t="shared" si="11"/>
        <v>52115.954663856428</v>
      </c>
      <c r="T25" s="80">
        <f t="shared" si="1"/>
        <v>104231.90932771286</v>
      </c>
      <c r="U25" s="98">
        <f t="shared" si="2"/>
        <v>208463.81865542571</v>
      </c>
      <c r="W25" s="80">
        <f>ROUNDUP('output H2 PROVA'!$K$3/'polarization curve'!S25,0)</f>
        <v>7</v>
      </c>
      <c r="X25" s="81">
        <f t="shared" si="3"/>
        <v>13307.903967114786</v>
      </c>
      <c r="Y25" s="81">
        <f t="shared" si="4"/>
        <v>217.02387421909307</v>
      </c>
      <c r="Z25" s="81">
        <f t="shared" si="5"/>
        <v>1.5191671195336514</v>
      </c>
      <c r="AA25" s="81">
        <f>'costo electrolyser'!$B$3*((W25*S25/365/24/3600)^0.79)/((B25/1000)^0.32)/10^6</f>
        <v>28.206537400601672</v>
      </c>
    </row>
    <row r="26" spans="1:34" ht="14.7" thickBot="1" x14ac:dyDescent="0.6">
      <c r="A26" s="158">
        <v>1.1764204237196181</v>
      </c>
      <c r="B26" s="159">
        <v>340.22649129231769</v>
      </c>
      <c r="C26" s="102">
        <f t="shared" si="6"/>
        <v>400.24939304674734</v>
      </c>
      <c r="D26" s="112"/>
      <c r="E26" s="112"/>
      <c r="F26" s="102">
        <f t="shared" si="7"/>
        <v>0.16153584706263835</v>
      </c>
      <c r="L26" s="106">
        <f t="shared" si="13"/>
        <v>420742.16197074077</v>
      </c>
      <c r="M26" s="107">
        <f t="shared" si="8"/>
        <v>2103710.8098537037</v>
      </c>
      <c r="N26" s="80">
        <f t="shared" si="9"/>
        <v>4207421.6197074074</v>
      </c>
      <c r="O26" s="104">
        <f t="shared" si="10"/>
        <v>8414843.2394148149</v>
      </c>
      <c r="R26" s="100">
        <f t="shared" si="0"/>
        <v>11075.778720917189</v>
      </c>
      <c r="S26" s="101">
        <f t="shared" si="11"/>
        <v>55378.893604585945</v>
      </c>
      <c r="T26" s="80">
        <f t="shared" si="1"/>
        <v>110757.78720917189</v>
      </c>
      <c r="U26" s="98">
        <f t="shared" si="2"/>
        <v>221515.57441834378</v>
      </c>
      <c r="W26" s="80">
        <f>ROUNDUP('output H2 PROVA'!$K$3/'polarization curve'!S26,0)</f>
        <v>7</v>
      </c>
      <c r="X26" s="81">
        <f t="shared" si="3"/>
        <v>14725.975668975927</v>
      </c>
      <c r="Y26" s="81">
        <f t="shared" si="4"/>
        <v>240.14963582804839</v>
      </c>
      <c r="Z26" s="81">
        <f t="shared" si="5"/>
        <v>1.6810474507963389</v>
      </c>
      <c r="AA26" s="81">
        <f>'costo electrolyser'!$B$3*((W26*S26/365/24/3600)^0.79)/((B26/1000)^0.32)/10^6</f>
        <v>29.023204190720406</v>
      </c>
    </row>
    <row r="27" spans="1:34" ht="14.7" thickBot="1" x14ac:dyDescent="0.6">
      <c r="A27" s="158">
        <v>1.2224629720052083</v>
      </c>
      <c r="B27" s="159">
        <v>360.29815673828125</v>
      </c>
      <c r="C27" s="102">
        <f t="shared" si="6"/>
        <v>440.45115549427766</v>
      </c>
      <c r="D27" s="112"/>
      <c r="E27" s="112"/>
      <c r="F27" s="102">
        <f t="shared" si="7"/>
        <v>0.15633826561631678</v>
      </c>
      <c r="L27" s="106">
        <f t="shared" si="13"/>
        <v>463002.25465558469</v>
      </c>
      <c r="M27" s="107">
        <f t="shared" si="8"/>
        <v>2315011.2732779235</v>
      </c>
      <c r="N27" s="80">
        <f t="shared" si="9"/>
        <v>4630022.5465558469</v>
      </c>
      <c r="O27" s="104">
        <f t="shared" si="10"/>
        <v>9260045.0931116939</v>
      </c>
      <c r="R27" s="100">
        <f t="shared" si="0"/>
        <v>11729.194403497793</v>
      </c>
      <c r="S27" s="101">
        <f t="shared" si="11"/>
        <v>58645.972017488966</v>
      </c>
      <c r="T27" s="80">
        <f t="shared" si="1"/>
        <v>117291.94403497793</v>
      </c>
      <c r="U27" s="98">
        <f t="shared" si="2"/>
        <v>234583.88806995586</v>
      </c>
      <c r="W27" s="80">
        <f>ROUNDUP('output H2 PROVA'!$K$3/'polarization curve'!S27,0)</f>
        <v>6</v>
      </c>
      <c r="X27" s="81">
        <f t="shared" si="3"/>
        <v>13890.067639667541</v>
      </c>
      <c r="Y27" s="81">
        <f t="shared" si="4"/>
        <v>264.27069329656661</v>
      </c>
      <c r="Z27" s="81">
        <f t="shared" si="5"/>
        <v>1.5856241597793996</v>
      </c>
      <c r="AA27" s="81">
        <f>'costo electrolyser'!$B$3*((W27*S27/365/24/3600)^0.79)/((B27/1000)^0.32)/10^6</f>
        <v>26.397179950840965</v>
      </c>
    </row>
    <row r="28" spans="1:34" ht="14.7" thickBot="1" x14ac:dyDescent="0.6">
      <c r="A28" s="158">
        <v>1.2678985595703125</v>
      </c>
      <c r="B28" s="159">
        <v>380.3253173828125</v>
      </c>
      <c r="C28" s="102">
        <f t="shared" si="6"/>
        <v>482.2139220777899</v>
      </c>
      <c r="D28" s="112"/>
      <c r="E28" s="112"/>
      <c r="F28" s="102">
        <f t="shared" si="7"/>
        <v>0.15152700131274613</v>
      </c>
      <c r="L28" s="106">
        <f t="shared" si="13"/>
        <v>506903.27488817275</v>
      </c>
      <c r="M28" s="107">
        <f t="shared" si="8"/>
        <v>2534516.3744408637</v>
      </c>
      <c r="N28" s="80">
        <f t="shared" si="9"/>
        <v>5069032.7488817275</v>
      </c>
      <c r="O28" s="104">
        <f t="shared" si="10"/>
        <v>10138065.497763455</v>
      </c>
      <c r="R28" s="100">
        <f t="shared" si="0"/>
        <v>12381.161270817678</v>
      </c>
      <c r="S28" s="101">
        <f t="shared" si="11"/>
        <v>61905.806354088396</v>
      </c>
      <c r="T28" s="80">
        <f t="shared" si="1"/>
        <v>123811.61270817679</v>
      </c>
      <c r="U28" s="98">
        <f t="shared" si="2"/>
        <v>247623.22541635358</v>
      </c>
      <c r="W28" s="80">
        <f>ROUNDUP('output H2 PROVA'!$K$3/'polarization curve'!S28,0)</f>
        <v>6</v>
      </c>
      <c r="X28" s="81">
        <f t="shared" si="3"/>
        <v>15207.098246645182</v>
      </c>
      <c r="Y28" s="81">
        <f t="shared" si="4"/>
        <v>289.32835324667394</v>
      </c>
      <c r="Z28" s="81">
        <f t="shared" si="5"/>
        <v>1.7359701194800436</v>
      </c>
      <c r="AA28" s="81">
        <f>'costo electrolyser'!$B$3*((W28*S28/365/24/3600)^0.79)/((B28/1000)^0.32)/10^6</f>
        <v>27.076924573888931</v>
      </c>
    </row>
    <row r="29" spans="1:34" ht="14.7" thickBot="1" x14ac:dyDescent="0.6">
      <c r="A29" s="163">
        <v>1.3143954806857638</v>
      </c>
      <c r="B29" s="164">
        <v>400.1617431640625</v>
      </c>
      <c r="C29" s="113">
        <f t="shared" si="6"/>
        <v>525.97078675818113</v>
      </c>
      <c r="D29" s="112"/>
      <c r="E29" s="112"/>
      <c r="F29" s="113">
        <f t="shared" si="7"/>
        <v>0.14690057686450528</v>
      </c>
      <c r="L29" s="106">
        <f t="shared" si="13"/>
        <v>552900.49104020011</v>
      </c>
      <c r="M29" s="107">
        <f t="shared" si="8"/>
        <v>2764502.455201</v>
      </c>
      <c r="N29" s="80">
        <f t="shared" si="9"/>
        <v>5529004.910402</v>
      </c>
      <c r="O29" s="104">
        <f t="shared" si="10"/>
        <v>11058009.820804</v>
      </c>
      <c r="R29" s="100">
        <f t="shared" si="0"/>
        <v>13026.918929877376</v>
      </c>
      <c r="S29" s="101">
        <f t="shared" si="11"/>
        <v>65134.594649386891</v>
      </c>
      <c r="T29" s="80">
        <f t="shared" si="1"/>
        <v>130269.18929877378</v>
      </c>
      <c r="U29" s="98">
        <f t="shared" si="2"/>
        <v>260538.37859754756</v>
      </c>
      <c r="W29" s="80">
        <f>ROUNDUP('output H2 PROVA'!$K$3/'polarization curve'!S29,0)</f>
        <v>6</v>
      </c>
      <c r="X29" s="82">
        <f t="shared" si="3"/>
        <v>16587.014731206</v>
      </c>
      <c r="Y29" s="82">
        <f t="shared" si="4"/>
        <v>315.58247205490869</v>
      </c>
      <c r="Z29" s="82">
        <f t="shared" si="5"/>
        <v>1.893494832329452</v>
      </c>
      <c r="AA29" s="82">
        <f>'costo electrolyser'!$B$3*((W29*S29/365/24/3600)^0.79)/((B29/1000)^0.32)/10^6</f>
        <v>27.731738111492806</v>
      </c>
    </row>
    <row r="32" spans="1:34" ht="14.7" thickBot="1" x14ac:dyDescent="0.6">
      <c r="A32" s="72" t="s">
        <v>68</v>
      </c>
      <c r="B32" s="72">
        <v>6</v>
      </c>
    </row>
    <row r="33" spans="1:22" ht="14.7" thickBot="1" x14ac:dyDescent="0.6">
      <c r="A33" s="314" t="s">
        <v>315</v>
      </c>
      <c r="B33" s="315"/>
    </row>
    <row r="34" spans="1:22" x14ac:dyDescent="0.55000000000000004">
      <c r="A34" s="80" t="s">
        <v>68</v>
      </c>
      <c r="B34" s="104">
        <v>2</v>
      </c>
      <c r="C34" s="72" t="s">
        <v>259</v>
      </c>
      <c r="E34" s="72">
        <v>0.753</v>
      </c>
      <c r="F34" s="72">
        <v>0.65</v>
      </c>
      <c r="V34" s="72">
        <f>'output H2 PROVA'!$K$3/'polarization curve'!S17</f>
        <v>12.941131083524127</v>
      </c>
    </row>
    <row r="35" spans="1:22" x14ac:dyDescent="0.55000000000000004">
      <c r="A35" s="81" t="s">
        <v>70</v>
      </c>
      <c r="B35" s="104">
        <v>96485</v>
      </c>
      <c r="V35" s="165"/>
    </row>
    <row r="36" spans="1:22" ht="14.7" thickBot="1" x14ac:dyDescent="0.6">
      <c r="A36" s="82" t="s">
        <v>72</v>
      </c>
      <c r="B36" s="77">
        <v>2</v>
      </c>
    </row>
    <row r="37" spans="1:22" x14ac:dyDescent="0.55000000000000004">
      <c r="A37" s="72" t="s">
        <v>74</v>
      </c>
      <c r="B37" s="72">
        <f>120*10^6</f>
        <v>120000000</v>
      </c>
    </row>
    <row r="38" spans="1:22" ht="14.7" thickBot="1" x14ac:dyDescent="0.6"/>
    <row r="39" spans="1:22" ht="14.7" thickBot="1" x14ac:dyDescent="0.6">
      <c r="A39" s="319" t="s">
        <v>164</v>
      </c>
      <c r="B39" s="320"/>
      <c r="C39" s="320"/>
      <c r="D39" s="320"/>
      <c r="E39" s="321"/>
    </row>
    <row r="40" spans="1:22" ht="14.7" thickBot="1" x14ac:dyDescent="0.6">
      <c r="A40" s="110" t="s">
        <v>165</v>
      </c>
      <c r="B40" s="114" t="s">
        <v>166</v>
      </c>
      <c r="C40" s="77" t="s">
        <v>167</v>
      </c>
    </row>
    <row r="41" spans="1:22" x14ac:dyDescent="0.55000000000000004">
      <c r="A41" s="83">
        <v>343.15</v>
      </c>
      <c r="B41" s="72">
        <v>129.51</v>
      </c>
      <c r="C41" s="72">
        <v>-8.81</v>
      </c>
    </row>
    <row r="44" spans="1:22" ht="14.7" thickBot="1" x14ac:dyDescent="0.6"/>
    <row r="45" spans="1:22" ht="14.7" thickBot="1" x14ac:dyDescent="0.6">
      <c r="F45" s="87" t="s">
        <v>52</v>
      </c>
      <c r="G45" s="87" t="s">
        <v>53</v>
      </c>
      <c r="H45" s="126" t="s">
        <v>178</v>
      </c>
    </row>
    <row r="46" spans="1:22" x14ac:dyDescent="0.55000000000000004">
      <c r="F46" s="160">
        <v>0.27960951063368056</v>
      </c>
      <c r="G46" s="160">
        <v>4.9038569132486964</v>
      </c>
      <c r="H46" s="94">
        <f t="shared" ref="H46:H72" si="14">F3</f>
        <v>0.45833095046030781</v>
      </c>
    </row>
    <row r="47" spans="1:22" x14ac:dyDescent="0.55000000000000004">
      <c r="F47" s="158">
        <v>0.32450934516059027</v>
      </c>
      <c r="G47" s="158">
        <v>9.9594646030002139</v>
      </c>
      <c r="H47" s="102">
        <f t="shared" si="14"/>
        <v>0.4197215594109342</v>
      </c>
    </row>
    <row r="48" spans="1:22" x14ac:dyDescent="0.55000000000000004">
      <c r="F48" s="158">
        <v>0.34635959201388888</v>
      </c>
      <c r="G48" s="158">
        <v>14.916769663492838</v>
      </c>
      <c r="H48" s="102">
        <f t="shared" si="14"/>
        <v>0.4031928773753039</v>
      </c>
    </row>
    <row r="49" spans="6:8" x14ac:dyDescent="0.55000000000000004">
      <c r="F49" s="158">
        <v>0.36625230577256945</v>
      </c>
      <c r="G49" s="158">
        <v>19.972578684488937</v>
      </c>
      <c r="H49" s="102">
        <f t="shared" si="14"/>
        <v>0.38923788085325928</v>
      </c>
    </row>
    <row r="50" spans="6:8" x14ac:dyDescent="0.55000000000000004">
      <c r="F50" s="158">
        <v>0.40051540798611113</v>
      </c>
      <c r="G50" s="158">
        <v>29.99098036024305</v>
      </c>
      <c r="H50" s="102">
        <f t="shared" si="14"/>
        <v>0.36733925467738382</v>
      </c>
    </row>
    <row r="51" spans="6:8" x14ac:dyDescent="0.55000000000000004">
      <c r="F51" s="158">
        <v>0.43173302544487846</v>
      </c>
      <c r="G51" s="158">
        <v>39.920806884765625</v>
      </c>
      <c r="H51" s="102">
        <f t="shared" si="14"/>
        <v>0.34942774356280554</v>
      </c>
    </row>
    <row r="52" spans="6:8" x14ac:dyDescent="0.55000000000000004">
      <c r="F52" s="158">
        <v>0.46202358669704863</v>
      </c>
      <c r="G52" s="158">
        <v>49.93438720703125</v>
      </c>
      <c r="H52" s="102">
        <f t="shared" si="14"/>
        <v>0.33364241213563056</v>
      </c>
    </row>
    <row r="53" spans="6:8" x14ac:dyDescent="0.55000000000000004">
      <c r="F53" s="158">
        <v>0.49084404839409723</v>
      </c>
      <c r="G53" s="158">
        <v>59.96682908799913</v>
      </c>
      <c r="H53" s="102">
        <f t="shared" si="14"/>
        <v>0.31989268002491356</v>
      </c>
    </row>
    <row r="54" spans="6:8" x14ac:dyDescent="0.55000000000000004">
      <c r="F54" s="158">
        <v>0.51875372992621527</v>
      </c>
      <c r="G54" s="158">
        <v>69.977442423502609</v>
      </c>
      <c r="H54" s="102">
        <f t="shared" si="14"/>
        <v>0.3076161382131582</v>
      </c>
    </row>
    <row r="55" spans="6:8" x14ac:dyDescent="0.55000000000000004">
      <c r="F55" s="158">
        <v>0.5462493896484375</v>
      </c>
      <c r="G55" s="158">
        <v>79.991764492458771</v>
      </c>
      <c r="H55" s="102">
        <f t="shared" si="14"/>
        <v>0.29640955531065777</v>
      </c>
    </row>
    <row r="56" spans="6:8" x14ac:dyDescent="0.55000000000000004">
      <c r="F56" s="158">
        <v>0.57417907714843752</v>
      </c>
      <c r="G56" s="158">
        <v>90.007781982421875</v>
      </c>
      <c r="H56" s="102">
        <f t="shared" si="14"/>
        <v>0.28583219804486065</v>
      </c>
    </row>
    <row r="57" spans="6:8" x14ac:dyDescent="0.55000000000000004">
      <c r="F57" s="158">
        <v>0.60167558458116321</v>
      </c>
      <c r="G57" s="158">
        <v>100.0213623046875</v>
      </c>
      <c r="H57" s="102">
        <f t="shared" si="14"/>
        <v>0.27613129722962387</v>
      </c>
    </row>
    <row r="58" spans="6:8" x14ac:dyDescent="0.55000000000000004">
      <c r="F58" s="158">
        <v>0.65303955078124998</v>
      </c>
      <c r="G58" s="158">
        <v>119.95326148139105</v>
      </c>
      <c r="H58" s="102">
        <f t="shared" si="14"/>
        <v>0.25966858651461472</v>
      </c>
    </row>
    <row r="59" spans="6:8" x14ac:dyDescent="0.55000000000000004">
      <c r="F59" s="158">
        <v>0.70317433675130203</v>
      </c>
      <c r="G59" s="158">
        <v>139.9993896484375</v>
      </c>
      <c r="H59" s="102">
        <f t="shared" si="14"/>
        <v>0.24538882021372768</v>
      </c>
    </row>
    <row r="60" spans="6:8" x14ac:dyDescent="0.55000000000000004">
      <c r="F60" s="162">
        <v>0.753</v>
      </c>
      <c r="G60" s="162">
        <v>160.02665625678168</v>
      </c>
      <c r="H60" s="102">
        <f t="shared" si="14"/>
        <v>0.23267252193209348</v>
      </c>
    </row>
    <row r="61" spans="6:8" x14ac:dyDescent="0.55000000000000004">
      <c r="F61" s="158">
        <v>0.80061848958333337</v>
      </c>
      <c r="G61" s="158">
        <v>179.96597290039063</v>
      </c>
      <c r="H61" s="102">
        <f t="shared" si="14"/>
        <v>0.22169307199872268</v>
      </c>
    </row>
    <row r="62" spans="6:8" x14ac:dyDescent="0.55000000000000004">
      <c r="F62" s="158">
        <v>0.848297119140625</v>
      </c>
      <c r="G62" s="158">
        <v>200.02365112304688</v>
      </c>
      <c r="H62" s="102">
        <f t="shared" si="14"/>
        <v>0.21169108683322779</v>
      </c>
    </row>
    <row r="63" spans="6:8" x14ac:dyDescent="0.55000000000000004">
      <c r="F63" s="158">
        <v>0.8957672119140625</v>
      </c>
      <c r="G63" s="158">
        <v>220.05081176757813</v>
      </c>
      <c r="H63" s="102">
        <f t="shared" si="14"/>
        <v>0.20259089947300346</v>
      </c>
    </row>
    <row r="64" spans="6:8" x14ac:dyDescent="0.55000000000000004">
      <c r="F64" s="158">
        <v>0.94285244411892366</v>
      </c>
      <c r="G64" s="158">
        <v>240.09344312879773</v>
      </c>
      <c r="H64" s="102">
        <f t="shared" si="14"/>
        <v>0.19430579204553367</v>
      </c>
    </row>
    <row r="65" spans="6:8" x14ac:dyDescent="0.55000000000000004">
      <c r="F65" s="158">
        <v>0.98944091796875</v>
      </c>
      <c r="G65" s="158">
        <v>260.0425084431966</v>
      </c>
      <c r="H65" s="102">
        <f t="shared" si="14"/>
        <v>0.18674912052984644</v>
      </c>
    </row>
    <row r="66" spans="6:8" x14ac:dyDescent="0.55000000000000004">
      <c r="F66" s="158">
        <v>1.0357140435112848</v>
      </c>
      <c r="G66" s="158">
        <v>280.0603442721897</v>
      </c>
      <c r="H66" s="102">
        <f t="shared" si="14"/>
        <v>0.17980377349983132</v>
      </c>
    </row>
    <row r="67" spans="6:8" x14ac:dyDescent="0.55000000000000004">
      <c r="F67" s="158">
        <v>1.0825449625651042</v>
      </c>
      <c r="G67" s="158">
        <v>300.10223388671875</v>
      </c>
      <c r="H67" s="102">
        <f t="shared" si="14"/>
        <v>0.17328160965598219</v>
      </c>
    </row>
    <row r="68" spans="6:8" x14ac:dyDescent="0.55000000000000004">
      <c r="F68" s="158">
        <v>1.1296963161892362</v>
      </c>
      <c r="G68" s="158">
        <v>320.18025716145831</v>
      </c>
      <c r="H68" s="102">
        <f t="shared" si="14"/>
        <v>0.16717600975268412</v>
      </c>
    </row>
    <row r="69" spans="6:8" x14ac:dyDescent="0.55000000000000004">
      <c r="F69" s="158">
        <v>1.1764204237196181</v>
      </c>
      <c r="G69" s="158">
        <v>340.22649129231769</v>
      </c>
      <c r="H69" s="102">
        <f t="shared" si="14"/>
        <v>0.16153584706263835</v>
      </c>
    </row>
    <row r="70" spans="6:8" x14ac:dyDescent="0.55000000000000004">
      <c r="F70" s="158">
        <v>1.2224629720052083</v>
      </c>
      <c r="G70" s="158">
        <v>360.29815673828125</v>
      </c>
      <c r="H70" s="102">
        <f t="shared" si="14"/>
        <v>0.15633826561631678</v>
      </c>
    </row>
    <row r="71" spans="6:8" x14ac:dyDescent="0.55000000000000004">
      <c r="F71" s="158">
        <v>1.2678985595703125</v>
      </c>
      <c r="G71" s="158">
        <v>380.3253173828125</v>
      </c>
      <c r="H71" s="102">
        <f t="shared" si="14"/>
        <v>0.15152700131274613</v>
      </c>
    </row>
    <row r="72" spans="6:8" ht="14.7" thickBot="1" x14ac:dyDescent="0.6">
      <c r="F72" s="163">
        <v>1.3143954806857638</v>
      </c>
      <c r="G72" s="163">
        <v>400.1617431640625</v>
      </c>
      <c r="H72" s="113">
        <f t="shared" si="14"/>
        <v>0.14690057686450528</v>
      </c>
    </row>
  </sheetData>
  <mergeCells count="6">
    <mergeCell ref="A39:E39"/>
    <mergeCell ref="AC17:AH17"/>
    <mergeCell ref="A1:H1"/>
    <mergeCell ref="L1:O1"/>
    <mergeCell ref="R1:U1"/>
    <mergeCell ref="A33:B33"/>
  </mergeCells>
  <pageMargins left="0.7" right="0.7" top="0.75" bottom="0.75" header="0.3" footer="0.3"/>
  <pageSetup paperSize="9" orientation="portrait" verticalDpi="0"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13842-FA34-477C-8D78-55C13F795389}">
  <dimension ref="A1:C11"/>
  <sheetViews>
    <sheetView workbookViewId="0">
      <selection activeCell="B5" sqref="B5"/>
    </sheetView>
  </sheetViews>
  <sheetFormatPr defaultRowHeight="14.4" x14ac:dyDescent="0.55000000000000004"/>
  <cols>
    <col min="1" max="1" width="27" bestFit="1" customWidth="1"/>
    <col min="2" max="2" width="11.68359375" bestFit="1" customWidth="1"/>
    <col min="3" max="3" width="9.578125" customWidth="1"/>
    <col min="7" max="7" width="24.83984375" customWidth="1"/>
    <col min="8" max="8" width="15.41796875" bestFit="1" customWidth="1"/>
    <col min="9" max="9" width="11.68359375" bestFit="1" customWidth="1"/>
  </cols>
  <sheetData>
    <row r="1" spans="1:3" x14ac:dyDescent="0.55000000000000004">
      <c r="A1" s="328" t="s">
        <v>156</v>
      </c>
      <c r="B1" s="328"/>
      <c r="C1" s="328"/>
    </row>
    <row r="2" spans="1:3" x14ac:dyDescent="0.55000000000000004">
      <c r="A2" s="328"/>
      <c r="B2" s="328"/>
      <c r="C2" s="328"/>
    </row>
    <row r="3" spans="1:3" ht="26.1" x14ac:dyDescent="0.55000000000000004">
      <c r="A3" s="73" t="s">
        <v>157</v>
      </c>
      <c r="B3">
        <f>663894313</f>
        <v>663894313</v>
      </c>
    </row>
    <row r="5" spans="1:3" x14ac:dyDescent="0.55000000000000004">
      <c r="A5" t="s">
        <v>158</v>
      </c>
      <c r="B5">
        <f>B3*(('polarization curve'!S17/24/365/3600*'polarization curve'!W17)^0.79)/(('polarization curve'!B17/1000)^0.32)</f>
        <v>33202633.386189006</v>
      </c>
      <c r="C5">
        <f>B3*('polarization curve'!S17/24/365/3600*'polarization curve'!W17)^0.79/('polarization curve'!B17/1000)^0.32</f>
        <v>33202633.386189006</v>
      </c>
    </row>
    <row r="6" spans="1:3" x14ac:dyDescent="0.55000000000000004">
      <c r="A6" s="42"/>
      <c r="B6" s="42"/>
    </row>
    <row r="7" spans="1:3" x14ac:dyDescent="0.55000000000000004">
      <c r="A7" s="42"/>
      <c r="B7" s="42"/>
    </row>
    <row r="8" spans="1:3" x14ac:dyDescent="0.55000000000000004">
      <c r="A8" s="42"/>
    </row>
    <row r="9" spans="1:3" x14ac:dyDescent="0.55000000000000004">
      <c r="A9" s="42" t="s">
        <v>280</v>
      </c>
      <c r="B9">
        <f>('polarization curve'!S17/24/365/3600*'polarization curve'!W17)</f>
        <v>1.0737550630734359E-2</v>
      </c>
    </row>
    <row r="10" spans="1:3" x14ac:dyDescent="0.55000000000000004">
      <c r="A10" s="42"/>
    </row>
    <row r="11" spans="1:3" x14ac:dyDescent="0.55000000000000004">
      <c r="A11" s="42"/>
    </row>
  </sheetData>
  <mergeCells count="1">
    <mergeCell ref="A1:C2"/>
  </mergeCells>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DE7A5-9274-4800-A224-42962808E4CD}">
  <dimension ref="A1:AB58"/>
  <sheetViews>
    <sheetView topLeftCell="A30" zoomScale="72" zoomScaleNormal="90" workbookViewId="0">
      <selection activeCell="L70" sqref="L70"/>
    </sheetView>
  </sheetViews>
  <sheetFormatPr defaultRowHeight="14.4" x14ac:dyDescent="0.55000000000000004"/>
  <cols>
    <col min="1" max="1" width="28.15625" bestFit="1" customWidth="1"/>
    <col min="2" max="2" width="11.20703125" bestFit="1" customWidth="1"/>
    <col min="7" max="7" width="15.83984375" bestFit="1" customWidth="1"/>
    <col min="8" max="8" width="5.7890625" bestFit="1" customWidth="1"/>
    <col min="9" max="9" width="21.89453125" customWidth="1"/>
    <col min="10" max="10" width="11.68359375" bestFit="1" customWidth="1"/>
    <col min="11" max="11" width="21.26171875" bestFit="1" customWidth="1"/>
    <col min="12" max="12" width="19.578125" bestFit="1" customWidth="1"/>
    <col min="13" max="13" width="22.26171875" bestFit="1" customWidth="1"/>
    <col min="14" max="14" width="33.83984375" bestFit="1" customWidth="1"/>
    <col min="15" max="15" width="17" bestFit="1" customWidth="1"/>
    <col min="16" max="16" width="25.68359375" bestFit="1" customWidth="1"/>
    <col min="17" max="17" width="15.05078125" customWidth="1"/>
    <col min="18" max="24" width="17" customWidth="1"/>
    <col min="25" max="25" width="28.83984375" bestFit="1" customWidth="1"/>
    <col min="26" max="26" width="28.9453125" bestFit="1" customWidth="1"/>
    <col min="28" max="28" width="11.578125" bestFit="1" customWidth="1"/>
  </cols>
  <sheetData>
    <row r="1" spans="1:28" s="92" customFormat="1" ht="14.7" thickBot="1" x14ac:dyDescent="0.6">
      <c r="A1" s="126" t="s">
        <v>188</v>
      </c>
      <c r="G1" s="87" t="s">
        <v>77</v>
      </c>
      <c r="H1" s="87" t="s">
        <v>78</v>
      </c>
      <c r="I1" s="126" t="s">
        <v>257</v>
      </c>
      <c r="J1" s="126" t="s">
        <v>79</v>
      </c>
      <c r="K1" s="87" t="s">
        <v>258</v>
      </c>
      <c r="L1" s="87" t="s">
        <v>81</v>
      </c>
      <c r="M1" s="87" t="s">
        <v>82</v>
      </c>
      <c r="N1" s="126" t="s">
        <v>83</v>
      </c>
      <c r="O1" s="87" t="s">
        <v>84</v>
      </c>
      <c r="P1" s="89" t="s">
        <v>85</v>
      </c>
      <c r="Q1" s="329" t="s">
        <v>261</v>
      </c>
      <c r="R1" s="148" t="s">
        <v>94</v>
      </c>
      <c r="S1" s="92" t="s">
        <v>260</v>
      </c>
      <c r="T1" s="92" t="s">
        <v>297</v>
      </c>
      <c r="U1" s="71" t="s">
        <v>298</v>
      </c>
      <c r="V1" s="92" t="s">
        <v>313</v>
      </c>
      <c r="W1" s="92" t="s">
        <v>295</v>
      </c>
      <c r="X1" s="92" t="s">
        <v>312</v>
      </c>
      <c r="Y1" s="92" t="s">
        <v>299</v>
      </c>
      <c r="Z1" s="87" t="s">
        <v>293</v>
      </c>
      <c r="AA1" s="71" t="s">
        <v>294</v>
      </c>
      <c r="AB1" s="71" t="s">
        <v>296</v>
      </c>
    </row>
    <row r="2" spans="1:28" ht="14.7" thickBot="1" x14ac:dyDescent="0.6">
      <c r="A2" s="21" t="s">
        <v>171</v>
      </c>
      <c r="B2" s="139">
        <f>'polarization curve'!X17*'costo idrogeno in 20y'!B3/10^6+'output H2 PROVA'!K13*'costo idrogeno in 20y'!B3/10^6</f>
        <v>1.1017995889650625</v>
      </c>
      <c r="G2" s="138">
        <f>B15+B19+B28</f>
        <v>36.657586509675355</v>
      </c>
      <c r="H2" s="40">
        <v>1</v>
      </c>
      <c r="I2" s="174">
        <f>$B$2</f>
        <v>1.1017995889650625</v>
      </c>
      <c r="J2" s="122">
        <f>$B$20+$B$29+$B$25</f>
        <v>0.2222961161024436</v>
      </c>
      <c r="K2" s="124">
        <f>$B$12</f>
        <v>0.82171640263643531</v>
      </c>
      <c r="L2" s="60"/>
      <c r="M2" s="40"/>
      <c r="N2" s="57">
        <f>'polarization curve'!$AB$17</f>
        <v>338619.39669083874</v>
      </c>
      <c r="O2" s="179">
        <f>G2+J2+K2+L2+M2+I2</f>
        <v>38.803398617379294</v>
      </c>
      <c r="P2" s="40">
        <f>N2</f>
        <v>338619.39669083874</v>
      </c>
      <c r="Q2" s="330"/>
      <c r="R2" s="169">
        <f>(I2+J2+K2)/(1+0.04)^H2</f>
        <v>2.0632808727922511</v>
      </c>
      <c r="S2" s="177">
        <f>SUM(R2:R22)</f>
        <v>30.103941275368697</v>
      </c>
      <c r="T2" s="177">
        <f>G2+M12+L22</f>
        <v>46.618376525532057</v>
      </c>
      <c r="U2" s="207">
        <f>(T2+S2)*10^6/P22</f>
        <v>10.789233400413885</v>
      </c>
      <c r="V2" s="177">
        <f>G2</f>
        <v>36.657586509675355</v>
      </c>
      <c r="W2" s="177">
        <f>(I2+J2+K2+L2+M2)/((1+0.04)^H2)</f>
        <v>2.0632808727922511</v>
      </c>
      <c r="X2" s="177">
        <f>SUM(W2:W22)</f>
        <v>35.874543901301465</v>
      </c>
      <c r="Y2" s="112">
        <f>($P$2)/((1+0.04)^H2)</f>
        <v>325595.57374119107</v>
      </c>
      <c r="Z2" s="112">
        <f>SUM(Y2:Y22)</f>
        <v>4750545.6773609668</v>
      </c>
      <c r="AA2" s="208">
        <f>(X2+V2)*10^6/Z2</f>
        <v>15.268168193105348</v>
      </c>
      <c r="AB2" s="66">
        <f>(V2+X2)*10^6/(P22)</f>
        <v>10.199979699050477</v>
      </c>
    </row>
    <row r="3" spans="1:28" ht="14.7" thickBot="1" x14ac:dyDescent="0.6">
      <c r="A3" s="16" t="s">
        <v>255</v>
      </c>
      <c r="B3" s="13">
        <v>120</v>
      </c>
      <c r="D3">
        <v>1</v>
      </c>
      <c r="E3">
        <v>2</v>
      </c>
      <c r="F3">
        <v>3</v>
      </c>
      <c r="H3" s="40">
        <v>2</v>
      </c>
      <c r="I3" s="174">
        <f t="shared" ref="I3:I22" si="0">$B$2</f>
        <v>1.1017995889650625</v>
      </c>
      <c r="J3" s="146">
        <f t="shared" ref="J3:J22" si="1">$B$20+$B$29+$B$25</f>
        <v>0.2222961161024436</v>
      </c>
      <c r="K3" s="124">
        <f t="shared" ref="K3:K22" si="2">$B$12</f>
        <v>0.82171640263643531</v>
      </c>
      <c r="L3" s="60"/>
      <c r="M3" s="40"/>
      <c r="N3" s="60">
        <f>'polarization curve'!$AB$17</f>
        <v>338619.39669083874</v>
      </c>
      <c r="O3" s="179">
        <f>O2+J3+K3+L3+M3+I3</f>
        <v>40.949210725083233</v>
      </c>
      <c r="P3" s="40">
        <f>N3+P2</f>
        <v>677238.79338167747</v>
      </c>
      <c r="Q3" s="330"/>
      <c r="R3" s="169">
        <f t="shared" ref="R3:R22" si="3">(I3+J3+K3)/(1+0.04)^H3</f>
        <v>1.9839239161463951</v>
      </c>
      <c r="S3" s="177"/>
      <c r="T3" s="177"/>
      <c r="U3" s="177"/>
      <c r="V3" s="177"/>
      <c r="W3" s="177">
        <f t="shared" ref="W3:W22" si="4">(I3+J3+K3+L3+M3)/((1+0.04)^H3)</f>
        <v>1.9839239161463951</v>
      </c>
      <c r="X3" s="177"/>
      <c r="Y3" s="112">
        <f t="shared" ref="Y3:Y22" si="5">($P$2)/((1+0.04)^H3)</f>
        <v>313072.66705883754</v>
      </c>
    </row>
    <row r="4" spans="1:28" x14ac:dyDescent="0.55000000000000004">
      <c r="D4" s="204">
        <f>U2</f>
        <v>10.789233400413885</v>
      </c>
      <c r="E4">
        <f>AA2</f>
        <v>15.268168193105348</v>
      </c>
      <c r="F4">
        <f>AB2</f>
        <v>10.199979699050477</v>
      </c>
      <c r="H4" s="40">
        <v>3</v>
      </c>
      <c r="I4" s="174">
        <f t="shared" si="0"/>
        <v>1.1017995889650625</v>
      </c>
      <c r="J4" s="146">
        <f t="shared" si="1"/>
        <v>0.2222961161024436</v>
      </c>
      <c r="K4" s="124">
        <f t="shared" si="2"/>
        <v>0.82171640263643531</v>
      </c>
      <c r="L4" s="60"/>
      <c r="M4" s="40"/>
      <c r="N4" s="60">
        <f>'polarization curve'!$AB$17</f>
        <v>338619.39669083874</v>
      </c>
      <c r="O4" s="179">
        <f t="shared" ref="O4:O22" si="6">O3+J4+K4+L4+M4+I4</f>
        <v>43.095022832787173</v>
      </c>
      <c r="P4" s="40">
        <f>N4+P3</f>
        <v>1015858.1900725162</v>
      </c>
      <c r="Q4" s="330"/>
      <c r="R4" s="169">
        <f t="shared" si="3"/>
        <v>1.9076191501407647</v>
      </c>
      <c r="S4" s="177"/>
      <c r="T4" s="177"/>
      <c r="U4" s="177"/>
      <c r="V4" s="177"/>
      <c r="W4" s="177">
        <f t="shared" si="4"/>
        <v>1.9076191501407647</v>
      </c>
      <c r="X4" s="177"/>
      <c r="Y4" s="112">
        <f t="shared" si="5"/>
        <v>301031.41063349764</v>
      </c>
    </row>
    <row r="5" spans="1:28" x14ac:dyDescent="0.55000000000000004">
      <c r="A5" t="s">
        <v>302</v>
      </c>
      <c r="B5">
        <f>'polarization curve'!X17*1000</f>
        <v>8233528.9306411725</v>
      </c>
      <c r="C5">
        <f>B5/N2</f>
        <v>24.314994979919675</v>
      </c>
      <c r="H5" s="40">
        <v>4</v>
      </c>
      <c r="I5" s="174">
        <f t="shared" si="0"/>
        <v>1.1017995889650625</v>
      </c>
      <c r="J5" s="146">
        <f t="shared" si="1"/>
        <v>0.2222961161024436</v>
      </c>
      <c r="K5" s="124">
        <f t="shared" si="2"/>
        <v>0.82171640263643531</v>
      </c>
      <c r="L5" s="60"/>
      <c r="M5" s="40"/>
      <c r="N5" s="60">
        <f>'polarization curve'!$AB$17</f>
        <v>338619.39669083874</v>
      </c>
      <c r="O5" s="179">
        <f t="shared" si="6"/>
        <v>45.240834940491112</v>
      </c>
      <c r="P5" s="40">
        <f t="shared" ref="P5:P22" si="7">N5+P4</f>
        <v>1354477.5867633549</v>
      </c>
      <c r="Q5" s="330"/>
      <c r="R5" s="169">
        <f t="shared" si="3"/>
        <v>1.8342491828276581</v>
      </c>
      <c r="S5" s="177"/>
      <c r="T5" s="177"/>
      <c r="U5" s="177"/>
      <c r="V5" s="177"/>
      <c r="W5" s="177">
        <f t="shared" si="4"/>
        <v>1.8342491828276581</v>
      </c>
      <c r="X5" s="177"/>
      <c r="Y5" s="112">
        <f t="shared" si="5"/>
        <v>289453.27945528616</v>
      </c>
    </row>
    <row r="6" spans="1:28" x14ac:dyDescent="0.55000000000000004">
      <c r="H6" s="40">
        <v>5</v>
      </c>
      <c r="I6" s="174">
        <f t="shared" si="0"/>
        <v>1.1017995889650625</v>
      </c>
      <c r="J6" s="146">
        <f t="shared" si="1"/>
        <v>0.2222961161024436</v>
      </c>
      <c r="K6" s="124">
        <f t="shared" si="2"/>
        <v>0.82171640263643531</v>
      </c>
      <c r="L6" s="60"/>
      <c r="M6" s="40"/>
      <c r="N6" s="60">
        <f>'polarization curve'!$AB$17</f>
        <v>338619.39669083874</v>
      </c>
      <c r="O6" s="179">
        <f t="shared" si="6"/>
        <v>47.386647048195051</v>
      </c>
      <c r="P6" s="40">
        <f t="shared" si="7"/>
        <v>1693096.9834541937</v>
      </c>
      <c r="Q6" s="330"/>
      <c r="R6" s="169">
        <f t="shared" si="3"/>
        <v>1.7637011373342864</v>
      </c>
      <c r="S6" s="177"/>
      <c r="T6" s="177"/>
      <c r="U6" s="177"/>
      <c r="V6" s="177"/>
      <c r="W6" s="177">
        <f t="shared" si="4"/>
        <v>1.7637011373342864</v>
      </c>
      <c r="X6" s="177"/>
      <c r="Y6" s="112">
        <f t="shared" si="5"/>
        <v>278320.4610146982</v>
      </c>
    </row>
    <row r="7" spans="1:28" x14ac:dyDescent="0.55000000000000004">
      <c r="H7" s="40">
        <v>6</v>
      </c>
      <c r="I7" s="174">
        <f t="shared" si="0"/>
        <v>1.1017995889650625</v>
      </c>
      <c r="J7" s="146">
        <f t="shared" si="1"/>
        <v>0.2222961161024436</v>
      </c>
      <c r="K7" s="124">
        <f t="shared" si="2"/>
        <v>0.82171640263643531</v>
      </c>
      <c r="L7" s="60"/>
      <c r="M7" s="40"/>
      <c r="N7" s="60">
        <f>'polarization curve'!$AB$17</f>
        <v>338619.39669083874</v>
      </c>
      <c r="O7" s="179">
        <f t="shared" si="6"/>
        <v>49.532459155898991</v>
      </c>
      <c r="P7" s="40">
        <f t="shared" si="7"/>
        <v>2031716.3801450324</v>
      </c>
      <c r="Q7" s="330"/>
      <c r="R7" s="169">
        <f t="shared" si="3"/>
        <v>1.6958664782060446</v>
      </c>
      <c r="S7" s="177"/>
      <c r="T7" s="177"/>
      <c r="U7" s="177"/>
      <c r="V7" s="177"/>
      <c r="W7" s="177">
        <f t="shared" si="4"/>
        <v>1.6958664782060446</v>
      </c>
      <c r="X7" s="177"/>
      <c r="Y7" s="112">
        <f t="shared" si="5"/>
        <v>267615.82789874828</v>
      </c>
    </row>
    <row r="8" spans="1:28" x14ac:dyDescent="0.55000000000000004">
      <c r="H8" s="40">
        <v>7</v>
      </c>
      <c r="I8" s="174">
        <f t="shared" si="0"/>
        <v>1.1017995889650625</v>
      </c>
      <c r="J8" s="146">
        <f t="shared" si="1"/>
        <v>0.2222961161024436</v>
      </c>
      <c r="K8" s="124">
        <f t="shared" si="2"/>
        <v>0.82171640263643531</v>
      </c>
      <c r="L8" s="60"/>
      <c r="M8" s="40"/>
      <c r="N8" s="60">
        <f>'polarization curve'!$AB$17</f>
        <v>338619.39669083874</v>
      </c>
      <c r="O8" s="179">
        <f t="shared" si="6"/>
        <v>51.67827126360293</v>
      </c>
      <c r="P8" s="40">
        <f t="shared" si="7"/>
        <v>2370335.7768358709</v>
      </c>
      <c r="Q8" s="330"/>
      <c r="R8" s="169">
        <f t="shared" si="3"/>
        <v>1.6306408444288891</v>
      </c>
      <c r="S8" s="177"/>
      <c r="T8" s="177"/>
      <c r="U8" s="177"/>
      <c r="V8" s="177"/>
      <c r="W8" s="177">
        <f t="shared" si="4"/>
        <v>1.6306408444288891</v>
      </c>
      <c r="X8" s="177"/>
      <c r="Y8" s="112">
        <f t="shared" si="5"/>
        <v>257322.91144110414</v>
      </c>
    </row>
    <row r="9" spans="1:28" x14ac:dyDescent="0.55000000000000004">
      <c r="H9" s="40">
        <v>8</v>
      </c>
      <c r="I9" s="174">
        <f t="shared" si="0"/>
        <v>1.1017995889650625</v>
      </c>
      <c r="J9" s="146">
        <f t="shared" si="1"/>
        <v>0.2222961161024436</v>
      </c>
      <c r="K9" s="124">
        <f t="shared" si="2"/>
        <v>0.82171640263643531</v>
      </c>
      <c r="L9" s="60"/>
      <c r="M9" s="40"/>
      <c r="N9" s="60">
        <f>'polarization curve'!$AB$17</f>
        <v>338619.39669083874</v>
      </c>
      <c r="O9" s="179">
        <f t="shared" si="6"/>
        <v>53.82408337130687</v>
      </c>
      <c r="P9" s="40">
        <f t="shared" si="7"/>
        <v>2708955.1735267099</v>
      </c>
      <c r="Q9" s="330"/>
      <c r="R9" s="169">
        <f t="shared" si="3"/>
        <v>1.5679238888739317</v>
      </c>
      <c r="S9" s="177"/>
      <c r="T9" s="177"/>
      <c r="U9" s="177"/>
      <c r="V9" s="177"/>
      <c r="W9" s="177">
        <f t="shared" si="4"/>
        <v>1.5679238888739317</v>
      </c>
      <c r="X9" s="177"/>
      <c r="Y9" s="112">
        <f t="shared" si="5"/>
        <v>247425.87638567702</v>
      </c>
    </row>
    <row r="10" spans="1:28" ht="14.7" thickBot="1" x14ac:dyDescent="0.6">
      <c r="H10" s="40">
        <v>9</v>
      </c>
      <c r="I10" s="174">
        <f t="shared" si="0"/>
        <v>1.1017995889650625</v>
      </c>
      <c r="J10" s="146">
        <f t="shared" si="1"/>
        <v>0.2222961161024436</v>
      </c>
      <c r="K10" s="124">
        <f t="shared" si="2"/>
        <v>0.82171640263643531</v>
      </c>
      <c r="L10" s="60"/>
      <c r="M10" s="40"/>
      <c r="N10" s="60">
        <f>'polarization curve'!$AB$17</f>
        <v>338619.39669083874</v>
      </c>
      <c r="O10" s="179">
        <f t="shared" si="6"/>
        <v>55.969895479010809</v>
      </c>
      <c r="P10" s="40">
        <f t="shared" si="7"/>
        <v>3047574.5702175489</v>
      </c>
      <c r="Q10" s="330"/>
      <c r="R10" s="169">
        <f t="shared" si="3"/>
        <v>1.5076191239172418</v>
      </c>
      <c r="S10" s="177"/>
      <c r="T10" s="177"/>
      <c r="U10" s="177"/>
      <c r="V10" s="177"/>
      <c r="W10" s="177">
        <f t="shared" si="4"/>
        <v>1.5076191239172418</v>
      </c>
      <c r="X10" s="177"/>
      <c r="Y10" s="112">
        <f t="shared" si="5"/>
        <v>237909.49652468943</v>
      </c>
    </row>
    <row r="11" spans="1:28" ht="14.7" thickBot="1" x14ac:dyDescent="0.6">
      <c r="A11" s="116" t="s">
        <v>90</v>
      </c>
      <c r="H11" s="40">
        <v>10</v>
      </c>
      <c r="I11" s="174">
        <f t="shared" si="0"/>
        <v>1.1017995889650625</v>
      </c>
      <c r="J11" s="146">
        <f t="shared" si="1"/>
        <v>0.2222961161024436</v>
      </c>
      <c r="K11" s="124">
        <f t="shared" si="2"/>
        <v>0.82171640263643531</v>
      </c>
      <c r="L11" s="60"/>
      <c r="M11" s="40"/>
      <c r="N11" s="60">
        <f>'polarization curve'!$AB$17</f>
        <v>338619.39669083874</v>
      </c>
      <c r="O11" s="179">
        <f>O10+J11+K11+L11+M11+I11</f>
        <v>58.115707586714748</v>
      </c>
      <c r="P11" s="40">
        <f t="shared" si="7"/>
        <v>3386193.9669083878</v>
      </c>
      <c r="Q11" s="330"/>
      <c r="R11" s="169">
        <f t="shared" si="3"/>
        <v>1.4496337729973479</v>
      </c>
      <c r="S11" s="177"/>
      <c r="T11" s="177"/>
      <c r="U11" s="177"/>
      <c r="V11" s="177"/>
      <c r="W11" s="177">
        <f t="shared" si="4"/>
        <v>1.4496337729973479</v>
      </c>
      <c r="X11" s="177"/>
      <c r="Y11" s="112">
        <f t="shared" si="5"/>
        <v>228759.13127373983</v>
      </c>
    </row>
    <row r="12" spans="1:28" ht="14.7" thickBot="1" x14ac:dyDescent="0.6">
      <c r="A12" s="16" t="s">
        <v>314</v>
      </c>
      <c r="B12" s="138">
        <f>'output H2 PROVA'!B12*'output H2 PROVA'!B13/10^6</f>
        <v>0.82171640263643531</v>
      </c>
      <c r="H12" s="40">
        <v>11</v>
      </c>
      <c r="I12" s="174">
        <f t="shared" si="0"/>
        <v>1.1017995889650625</v>
      </c>
      <c r="J12" s="146">
        <f t="shared" si="1"/>
        <v>0.2222961161024436</v>
      </c>
      <c r="K12" s="124">
        <f t="shared" si="2"/>
        <v>0.82171640263643531</v>
      </c>
      <c r="L12" s="60"/>
      <c r="M12" s="40">
        <f>B31</f>
        <v>6.6405266772378013</v>
      </c>
      <c r="N12" s="60">
        <f>'polarization curve'!$AB$17</f>
        <v>338619.39669083874</v>
      </c>
      <c r="O12" s="179">
        <f>O11+J12+K12+L12+M12+I12</f>
        <v>66.902046371656496</v>
      </c>
      <c r="P12" s="40">
        <f t="shared" si="7"/>
        <v>3724813.3635992268</v>
      </c>
      <c r="Q12" s="330"/>
      <c r="R12" s="169">
        <f t="shared" si="3"/>
        <v>1.3938786278820654</v>
      </c>
      <c r="S12" s="177"/>
      <c r="T12" s="177"/>
      <c r="U12" s="177"/>
      <c r="V12" s="177"/>
      <c r="W12" s="177">
        <f>(I12+J12+K12+L12+M12)/((1+0.04)^H12)</f>
        <v>5.7074381329529285</v>
      </c>
      <c r="X12" s="177"/>
      <c r="Y12" s="112">
        <f t="shared" si="5"/>
        <v>219960.70314782677</v>
      </c>
    </row>
    <row r="13" spans="1:28" ht="14.7" thickBot="1" x14ac:dyDescent="0.6">
      <c r="H13" s="40">
        <v>12</v>
      </c>
      <c r="I13" s="174">
        <f t="shared" si="0"/>
        <v>1.1017995889650625</v>
      </c>
      <c r="J13" s="146">
        <f t="shared" si="1"/>
        <v>0.2222961161024436</v>
      </c>
      <c r="K13" s="124">
        <f t="shared" si="2"/>
        <v>0.82171640263643531</v>
      </c>
      <c r="L13" s="60"/>
      <c r="M13" s="40"/>
      <c r="N13" s="60">
        <f>'polarization curve'!$AB$17</f>
        <v>338619.39669083874</v>
      </c>
      <c r="O13" s="179">
        <f t="shared" si="6"/>
        <v>69.047858479360443</v>
      </c>
      <c r="P13" s="40">
        <f t="shared" si="7"/>
        <v>4063432.7602900658</v>
      </c>
      <c r="Q13" s="330"/>
      <c r="R13" s="169">
        <f t="shared" si="3"/>
        <v>1.3402679114250626</v>
      </c>
      <c r="S13" s="177"/>
      <c r="T13" s="177"/>
      <c r="U13" s="177"/>
      <c r="V13" s="177"/>
      <c r="W13" s="177">
        <f t="shared" si="4"/>
        <v>1.3402679114250626</v>
      </c>
      <c r="X13" s="177"/>
      <c r="Y13" s="112">
        <f t="shared" si="5"/>
        <v>211500.67610367955</v>
      </c>
    </row>
    <row r="14" spans="1:28" ht="14.7" thickBot="1" x14ac:dyDescent="0.6">
      <c r="A14" s="116" t="s">
        <v>92</v>
      </c>
      <c r="H14" s="40">
        <v>13</v>
      </c>
      <c r="I14" s="174">
        <f t="shared" si="0"/>
        <v>1.1017995889650625</v>
      </c>
      <c r="J14" s="146">
        <f t="shared" si="1"/>
        <v>0.2222961161024436</v>
      </c>
      <c r="K14" s="124">
        <f t="shared" si="2"/>
        <v>0.82171640263643531</v>
      </c>
      <c r="L14" s="60"/>
      <c r="M14" s="40"/>
      <c r="N14" s="60">
        <f>'polarization curve'!$AB$17</f>
        <v>338619.39669083874</v>
      </c>
      <c r="O14" s="179">
        <f t="shared" si="6"/>
        <v>71.193670587064389</v>
      </c>
      <c r="P14" s="40">
        <f t="shared" si="7"/>
        <v>4402052.1569809048</v>
      </c>
      <c r="Q14" s="330"/>
      <c r="R14" s="169">
        <f t="shared" si="3"/>
        <v>1.2887191456010216</v>
      </c>
      <c r="S14" s="177"/>
      <c r="T14" s="177"/>
      <c r="U14" s="177"/>
      <c r="V14" s="177"/>
      <c r="W14" s="177">
        <f t="shared" si="4"/>
        <v>1.2887191456010216</v>
      </c>
      <c r="X14" s="177"/>
      <c r="Y14" s="112">
        <f t="shared" si="5"/>
        <v>203366.03471507647</v>
      </c>
    </row>
    <row r="15" spans="1:28" x14ac:dyDescent="0.55000000000000004">
      <c r="A15" s="7" t="s">
        <v>93</v>
      </c>
      <c r="B15" s="135">
        <f>'output H2 PROVA'!B15*'output H2 PROVA'!B14</f>
        <v>0.22177999999999998</v>
      </c>
      <c r="H15" s="40">
        <v>14</v>
      </c>
      <c r="I15" s="174">
        <f t="shared" si="0"/>
        <v>1.1017995889650625</v>
      </c>
      <c r="J15" s="146">
        <f t="shared" si="1"/>
        <v>0.2222961161024436</v>
      </c>
      <c r="K15" s="124">
        <f t="shared" si="2"/>
        <v>0.82171640263643531</v>
      </c>
      <c r="L15" s="60"/>
      <c r="M15" s="40"/>
      <c r="N15" s="60">
        <f>'polarization curve'!$AB$17</f>
        <v>338619.39669083874</v>
      </c>
      <c r="O15" s="179">
        <f t="shared" si="6"/>
        <v>73.339482694768336</v>
      </c>
      <c r="P15" s="40">
        <f t="shared" si="7"/>
        <v>4740671.5536717437</v>
      </c>
      <c r="Q15" s="330"/>
      <c r="R15" s="169">
        <f t="shared" si="3"/>
        <v>1.2391530246163671</v>
      </c>
      <c r="S15" s="177"/>
      <c r="T15" s="177"/>
      <c r="U15" s="177"/>
      <c r="V15" s="177"/>
      <c r="W15" s="177">
        <f t="shared" si="4"/>
        <v>1.2391530246163671</v>
      </c>
      <c r="X15" s="177"/>
      <c r="Y15" s="112">
        <f t="shared" si="5"/>
        <v>195544.26414911202</v>
      </c>
    </row>
    <row r="16" spans="1:28" ht="14.7" thickBot="1" x14ac:dyDescent="0.6">
      <c r="A16" s="16" t="s">
        <v>94</v>
      </c>
      <c r="B16" s="16"/>
      <c r="H16" s="40">
        <v>15</v>
      </c>
      <c r="I16" s="174">
        <f t="shared" si="0"/>
        <v>1.1017995889650625</v>
      </c>
      <c r="J16" s="146">
        <f t="shared" si="1"/>
        <v>0.2222961161024436</v>
      </c>
      <c r="K16" s="124">
        <f t="shared" si="2"/>
        <v>0.82171640263643531</v>
      </c>
      <c r="L16" s="60"/>
      <c r="M16" s="40"/>
      <c r="N16" s="60">
        <f>'polarization curve'!$AB$17</f>
        <v>338619.39669083874</v>
      </c>
      <c r="O16" s="179">
        <f t="shared" si="6"/>
        <v>75.485294802472282</v>
      </c>
      <c r="P16" s="40">
        <f t="shared" si="7"/>
        <v>5079290.9503625827</v>
      </c>
      <c r="Q16" s="330"/>
      <c r="R16" s="169">
        <f t="shared" si="3"/>
        <v>1.191493292900353</v>
      </c>
      <c r="S16" s="177"/>
      <c r="T16" s="177"/>
      <c r="U16" s="177"/>
      <c r="V16" s="177"/>
      <c r="W16" s="177">
        <f t="shared" si="4"/>
        <v>1.191493292900353</v>
      </c>
      <c r="X16" s="177"/>
      <c r="Y16" s="112">
        <f t="shared" si="5"/>
        <v>188023.33091260769</v>
      </c>
    </row>
    <row r="17" spans="1:26" ht="14.7" thickBot="1" x14ac:dyDescent="0.6">
      <c r="H17" s="40">
        <v>16</v>
      </c>
      <c r="I17" s="174">
        <f t="shared" si="0"/>
        <v>1.1017995889650625</v>
      </c>
      <c r="J17" s="146">
        <f t="shared" si="1"/>
        <v>0.2222961161024436</v>
      </c>
      <c r="K17" s="124">
        <f t="shared" si="2"/>
        <v>0.82171640263643531</v>
      </c>
      <c r="L17" s="60"/>
      <c r="M17" s="40"/>
      <c r="N17" s="60">
        <f>'polarization curve'!$AB$17</f>
        <v>338619.39669083874</v>
      </c>
      <c r="O17" s="179">
        <f t="shared" si="6"/>
        <v>77.631106910176229</v>
      </c>
      <c r="P17" s="40">
        <f t="shared" si="7"/>
        <v>5417910.3470534217</v>
      </c>
      <c r="Q17" s="330"/>
      <c r="R17" s="169">
        <f t="shared" si="3"/>
        <v>1.1456666277888008</v>
      </c>
      <c r="S17" s="177"/>
      <c r="T17" s="177"/>
      <c r="U17" s="177"/>
      <c r="V17" s="177"/>
      <c r="W17" s="177">
        <f t="shared" si="4"/>
        <v>1.1456666277888008</v>
      </c>
      <c r="X17" s="177"/>
      <c r="Y17" s="112">
        <f t="shared" si="5"/>
        <v>180791.66433904585</v>
      </c>
    </row>
    <row r="18" spans="1:26" ht="14.7" thickBot="1" x14ac:dyDescent="0.6">
      <c r="A18" s="116" t="s">
        <v>96</v>
      </c>
      <c r="H18" s="40">
        <v>17</v>
      </c>
      <c r="I18" s="174">
        <f t="shared" si="0"/>
        <v>1.1017995889650625</v>
      </c>
      <c r="J18" s="146">
        <f t="shared" si="1"/>
        <v>0.2222961161024436</v>
      </c>
      <c r="K18" s="124">
        <f t="shared" si="2"/>
        <v>0.82171640263643531</v>
      </c>
      <c r="L18" s="60"/>
      <c r="M18" s="40"/>
      <c r="N18" s="60">
        <f>'polarization curve'!$AB$17</f>
        <v>338619.39669083874</v>
      </c>
      <c r="O18" s="179">
        <f t="shared" si="6"/>
        <v>79.776919017880175</v>
      </c>
      <c r="P18" s="40">
        <f t="shared" si="7"/>
        <v>5756529.7437442606</v>
      </c>
      <c r="Q18" s="330"/>
      <c r="R18" s="169">
        <f t="shared" si="3"/>
        <v>1.1016025267200007</v>
      </c>
      <c r="S18" s="177"/>
      <c r="T18" s="177"/>
      <c r="U18" s="177"/>
      <c r="V18" s="177"/>
      <c r="W18" s="177">
        <f t="shared" si="4"/>
        <v>1.1016025267200007</v>
      </c>
      <c r="X18" s="177"/>
      <c r="Y18" s="112">
        <f t="shared" si="5"/>
        <v>173838.13878754407</v>
      </c>
    </row>
    <row r="19" spans="1:26" x14ac:dyDescent="0.55000000000000004">
      <c r="A19" s="7" t="s">
        <v>93</v>
      </c>
      <c r="B19" s="135">
        <f>'output H2 PROVA'!G16+'output H2 PROVA'!K17</f>
        <v>3.2331731234863463</v>
      </c>
      <c r="C19" t="s">
        <v>168</v>
      </c>
      <c r="H19" s="40">
        <v>18</v>
      </c>
      <c r="I19" s="174">
        <f t="shared" si="0"/>
        <v>1.1017995889650625</v>
      </c>
      <c r="J19" s="146">
        <f t="shared" si="1"/>
        <v>0.2222961161024436</v>
      </c>
      <c r="K19" s="124">
        <f t="shared" si="2"/>
        <v>0.82171640263643531</v>
      </c>
      <c r="L19" s="60"/>
      <c r="M19" s="40"/>
      <c r="N19" s="60">
        <f>'polarization curve'!$AB$17</f>
        <v>338619.39669083874</v>
      </c>
      <c r="O19" s="179">
        <f t="shared" si="6"/>
        <v>81.922731125584122</v>
      </c>
      <c r="P19" s="40">
        <f t="shared" si="7"/>
        <v>6095149.1404350996</v>
      </c>
      <c r="Q19" s="330"/>
      <c r="R19" s="169">
        <f t="shared" si="3"/>
        <v>1.0592331987692314</v>
      </c>
      <c r="S19" s="177"/>
      <c r="T19" s="177"/>
      <c r="U19" s="177"/>
      <c r="V19" s="177"/>
      <c r="W19" s="177">
        <f t="shared" si="4"/>
        <v>1.0592331987692314</v>
      </c>
      <c r="X19" s="177"/>
      <c r="Y19" s="112">
        <f t="shared" si="5"/>
        <v>167152.05652648467</v>
      </c>
    </row>
    <row r="20" spans="1:26" ht="14.7" thickBot="1" x14ac:dyDescent="0.6">
      <c r="A20" s="16" t="s">
        <v>94</v>
      </c>
      <c r="B20" s="16">
        <f>'output H2 PROVA'!G17*'output H2 PROVA'!G15/10^6+'output H2 PROVA'!K18</f>
        <v>1.8000000000000002E-2</v>
      </c>
      <c r="C20" t="s">
        <v>97</v>
      </c>
      <c r="H20" s="40">
        <v>19</v>
      </c>
      <c r="I20" s="174">
        <f t="shared" si="0"/>
        <v>1.1017995889650625</v>
      </c>
      <c r="J20" s="146">
        <f t="shared" si="1"/>
        <v>0.2222961161024436</v>
      </c>
      <c r="K20" s="124">
        <f t="shared" si="2"/>
        <v>0.82171640263643531</v>
      </c>
      <c r="L20" s="60"/>
      <c r="M20" s="45"/>
      <c r="N20" s="60">
        <f>'polarization curve'!$AB$17</f>
        <v>338619.39669083874</v>
      </c>
      <c r="O20" s="179">
        <f t="shared" si="6"/>
        <v>84.068543233288068</v>
      </c>
      <c r="P20" s="40">
        <f t="shared" si="7"/>
        <v>6433768.5371259386</v>
      </c>
      <c r="Q20" s="330"/>
      <c r="R20" s="169">
        <f t="shared" si="3"/>
        <v>1.0184934603550302</v>
      </c>
      <c r="S20" s="177"/>
      <c r="T20" s="177"/>
      <c r="U20" s="177"/>
      <c r="V20" s="177"/>
      <c r="W20" s="177">
        <f t="shared" si="4"/>
        <v>1.0184934603550302</v>
      </c>
      <c r="X20" s="177"/>
      <c r="Y20" s="112">
        <f t="shared" si="5"/>
        <v>160723.13127546603</v>
      </c>
    </row>
    <row r="21" spans="1:26" ht="14.7" thickBot="1" x14ac:dyDescent="0.6">
      <c r="H21" s="40">
        <v>20</v>
      </c>
      <c r="I21" s="174">
        <f t="shared" si="0"/>
        <v>1.1017995889650625</v>
      </c>
      <c r="J21" s="146">
        <f t="shared" si="1"/>
        <v>0.2222961161024436</v>
      </c>
      <c r="K21" s="124">
        <f t="shared" si="2"/>
        <v>0.82171640263643531</v>
      </c>
      <c r="L21" s="60"/>
      <c r="M21" s="40"/>
      <c r="N21" s="60">
        <f>'polarization curve'!$AB$17</f>
        <v>338619.39669083874</v>
      </c>
      <c r="O21" s="179">
        <f t="shared" si="6"/>
        <v>86.214355340992014</v>
      </c>
      <c r="P21" s="40">
        <f t="shared" si="7"/>
        <v>6772387.9338167775</v>
      </c>
      <c r="Q21" s="330"/>
      <c r="R21" s="169">
        <f t="shared" si="3"/>
        <v>0.97932063495675969</v>
      </c>
      <c r="S21" s="177"/>
      <c r="T21" s="177"/>
      <c r="U21" s="177"/>
      <c r="V21" s="177"/>
      <c r="W21" s="177">
        <f t="shared" si="4"/>
        <v>0.97932063495675969</v>
      </c>
      <c r="X21" s="177"/>
      <c r="Y21" s="112">
        <f t="shared" si="5"/>
        <v>154541.47238025579</v>
      </c>
    </row>
    <row r="22" spans="1:26" ht="14.7" thickBot="1" x14ac:dyDescent="0.6">
      <c r="A22" s="128" t="s">
        <v>98</v>
      </c>
      <c r="B22" s="130"/>
      <c r="C22" s="130"/>
      <c r="G22" t="s">
        <v>218</v>
      </c>
      <c r="H22" s="86">
        <v>21</v>
      </c>
      <c r="I22" s="180">
        <f t="shared" si="0"/>
        <v>1.1017995889650625</v>
      </c>
      <c r="J22" s="147">
        <f t="shared" si="1"/>
        <v>0.2222961161024436</v>
      </c>
      <c r="K22" s="125">
        <f t="shared" si="2"/>
        <v>0.82171640263643531</v>
      </c>
      <c r="L22" s="181">
        <f>B30</f>
        <v>3.3202633386189007</v>
      </c>
      <c r="M22" s="86"/>
      <c r="N22" s="58">
        <f>'polarization curve'!$AB$17</f>
        <v>338619.39669083874</v>
      </c>
      <c r="O22" s="182">
        <f t="shared" si="6"/>
        <v>91.680430787314862</v>
      </c>
      <c r="P22" s="86">
        <f t="shared" si="7"/>
        <v>7111007.3305076165</v>
      </c>
      <c r="Q22" s="331"/>
      <c r="R22" s="183">
        <f t="shared" si="3"/>
        <v>0.94165445668919179</v>
      </c>
      <c r="S22" s="178"/>
      <c r="T22" s="178"/>
      <c r="U22" s="178"/>
      <c r="V22" s="178"/>
      <c r="W22" s="177">
        <f t="shared" si="4"/>
        <v>2.3986975775511015</v>
      </c>
      <c r="X22" s="177"/>
      <c r="Y22" s="112">
        <f t="shared" si="5"/>
        <v>148597.56959639976</v>
      </c>
      <c r="Z22" s="176"/>
    </row>
    <row r="23" spans="1:26" x14ac:dyDescent="0.55000000000000004">
      <c r="A23" s="24" t="s">
        <v>185</v>
      </c>
      <c r="B23" s="132">
        <f>'output H2 PROVA'!R14</f>
        <v>2483.2089090661511</v>
      </c>
      <c r="C23" s="130"/>
    </row>
    <row r="24" spans="1:26" ht="14.7" thickBot="1" x14ac:dyDescent="0.6">
      <c r="A24" s="129" t="s">
        <v>186</v>
      </c>
      <c r="B24" s="133">
        <v>80</v>
      </c>
      <c r="C24" s="130"/>
    </row>
    <row r="25" spans="1:26" ht="14.7" thickBot="1" x14ac:dyDescent="0.6">
      <c r="A25" s="131" t="s">
        <v>187</v>
      </c>
      <c r="B25" s="134">
        <f>B23*B24/10^6</f>
        <v>0.19865671272529209</v>
      </c>
      <c r="I25" s="126" t="s">
        <v>328</v>
      </c>
      <c r="J25" s="148" t="s">
        <v>87</v>
      </c>
      <c r="K25" s="87" t="s">
        <v>196</v>
      </c>
      <c r="L25" s="87" t="s">
        <v>81</v>
      </c>
      <c r="M25" s="87" t="s">
        <v>82</v>
      </c>
      <c r="N25" s="127" t="s">
        <v>77</v>
      </c>
    </row>
    <row r="26" spans="1:26" ht="14.7" thickBot="1" x14ac:dyDescent="0.6">
      <c r="I26" s="118">
        <f>SUM(I2:I22)</f>
        <v>23.13779136826631</v>
      </c>
      <c r="J26" s="117">
        <f>SUM(J2:J22)</f>
        <v>4.6682184381513157</v>
      </c>
      <c r="K26" s="118">
        <f>SUM(K2:K22)</f>
        <v>17.256044455365139</v>
      </c>
      <c r="L26" s="118">
        <f>L22</f>
        <v>3.3202633386189007</v>
      </c>
      <c r="M26">
        <f>SUM(M2:M22)</f>
        <v>6.6405266772378013</v>
      </c>
      <c r="N26" s="118">
        <f>G2</f>
        <v>36.657586509675355</v>
      </c>
    </row>
    <row r="27" spans="1:26" ht="14.7" thickBot="1" x14ac:dyDescent="0.6">
      <c r="A27" s="116" t="s">
        <v>99</v>
      </c>
    </row>
    <row r="28" spans="1:26" x14ac:dyDescent="0.55000000000000004">
      <c r="A28" s="7" t="s">
        <v>77</v>
      </c>
      <c r="B28" s="135">
        <f>'costo electrolyser'!C5/10^6</f>
        <v>33.202633386189007</v>
      </c>
    </row>
    <row r="29" spans="1:26" x14ac:dyDescent="0.55000000000000004">
      <c r="A29" s="7" t="s">
        <v>87</v>
      </c>
      <c r="B29" s="143">
        <f>(6*'polarization curve'!Z17*1000)/(10^6)</f>
        <v>5.63940337715149E-3</v>
      </c>
      <c r="S29" t="s">
        <v>340</v>
      </c>
      <c r="T29" t="s">
        <v>341</v>
      </c>
      <c r="U29" t="s">
        <v>261</v>
      </c>
    </row>
    <row r="30" spans="1:26" x14ac:dyDescent="0.55000000000000004">
      <c r="A30" s="7" t="s">
        <v>81</v>
      </c>
      <c r="B30" s="136">
        <f>0.1*B28</f>
        <v>3.3202633386189007</v>
      </c>
      <c r="S30" s="204">
        <f>S2*10^6/P22</f>
        <v>4.2334285251284838</v>
      </c>
      <c r="T30" s="204">
        <f>T2*10^6/P22</f>
        <v>6.5558048752854017</v>
      </c>
      <c r="U30" s="204">
        <f>SUM(S30:T30)</f>
        <v>10.789233400413885</v>
      </c>
    </row>
    <row r="31" spans="1:26" ht="14.7" thickBot="1" x14ac:dyDescent="0.6">
      <c r="A31" s="16" t="s">
        <v>100</v>
      </c>
      <c r="B31" s="137">
        <f>B28*0.2</f>
        <v>6.6405266772378013</v>
      </c>
    </row>
    <row r="32" spans="1:26" ht="14.7" thickBot="1" x14ac:dyDescent="0.6">
      <c r="A32" s="26" t="s">
        <v>300</v>
      </c>
      <c r="B32" s="205">
        <f>'polarization curve'!Z17*1000</f>
        <v>939.90056285858157</v>
      </c>
    </row>
    <row r="33" spans="1:5" ht="14.7" thickBot="1" x14ac:dyDescent="0.6">
      <c r="A33" s="26" t="s">
        <v>301</v>
      </c>
      <c r="B33" s="206">
        <f>B28*10^6/B32</f>
        <v>35325.687310163587</v>
      </c>
    </row>
    <row r="34" spans="1:5" x14ac:dyDescent="0.55000000000000004">
      <c r="B34" s="204"/>
    </row>
    <row r="35" spans="1:5" ht="14.7" thickBot="1" x14ac:dyDescent="0.6"/>
    <row r="36" spans="1:5" ht="14.4" customHeight="1" thickBot="1" x14ac:dyDescent="0.6">
      <c r="A36" s="308" t="s">
        <v>281</v>
      </c>
      <c r="B36" s="309"/>
      <c r="C36" s="310"/>
    </row>
    <row r="37" spans="1:5" ht="14.4" customHeight="1" x14ac:dyDescent="0.55000000000000004">
      <c r="A37" s="200" t="s">
        <v>282</v>
      </c>
      <c r="B37" s="203">
        <f>B15</f>
        <v>0.22177999999999998</v>
      </c>
      <c r="C37" s="201" t="s">
        <v>263</v>
      </c>
    </row>
    <row r="38" spans="1:5" ht="14.7" customHeight="1" x14ac:dyDescent="0.55000000000000004">
      <c r="A38" s="40" t="s">
        <v>283</v>
      </c>
      <c r="B38" s="175">
        <f>B12</f>
        <v>0.82171640263643531</v>
      </c>
      <c r="C38" s="123" t="s">
        <v>284</v>
      </c>
    </row>
    <row r="39" spans="1:5" x14ac:dyDescent="0.55000000000000004">
      <c r="A39" s="40" t="s">
        <v>285</v>
      </c>
      <c r="B39" s="175">
        <f>'output H2 PROVA'!G16</f>
        <v>2.7831731234863462</v>
      </c>
      <c r="C39" s="123" t="s">
        <v>263</v>
      </c>
    </row>
    <row r="40" spans="1:5" x14ac:dyDescent="0.55000000000000004">
      <c r="A40" s="40" t="s">
        <v>286</v>
      </c>
      <c r="B40" s="60">
        <f>'output H2 PROVA'!K17</f>
        <v>0.45</v>
      </c>
      <c r="C40" s="123" t="s">
        <v>263</v>
      </c>
    </row>
    <row r="41" spans="1:5" x14ac:dyDescent="0.55000000000000004">
      <c r="A41" s="40" t="s">
        <v>287</v>
      </c>
      <c r="B41" s="60">
        <f>B20</f>
        <v>1.8000000000000002E-2</v>
      </c>
      <c r="C41" s="123" t="s">
        <v>284</v>
      </c>
    </row>
    <row r="42" spans="1:5" x14ac:dyDescent="0.55000000000000004">
      <c r="A42" s="40" t="s">
        <v>266</v>
      </c>
      <c r="B42" s="146">
        <f>B25</f>
        <v>0.19865671272529209</v>
      </c>
      <c r="C42" s="123" t="s">
        <v>284</v>
      </c>
    </row>
    <row r="43" spans="1:5" x14ac:dyDescent="0.55000000000000004">
      <c r="A43" s="40" t="s">
        <v>288</v>
      </c>
      <c r="B43" s="175">
        <f>B28</f>
        <v>33.202633386189007</v>
      </c>
      <c r="C43" s="123" t="s">
        <v>263</v>
      </c>
      <c r="E43" t="s">
        <v>256</v>
      </c>
    </row>
    <row r="44" spans="1:5" x14ac:dyDescent="0.55000000000000004">
      <c r="A44" s="40" t="s">
        <v>289</v>
      </c>
      <c r="B44" s="146">
        <f>B29</f>
        <v>5.63940337715149E-3</v>
      </c>
      <c r="C44" s="123" t="s">
        <v>284</v>
      </c>
    </row>
    <row r="45" spans="1:5" x14ac:dyDescent="0.55000000000000004">
      <c r="A45" s="40" t="s">
        <v>290</v>
      </c>
      <c r="B45" s="175">
        <f>B30</f>
        <v>3.3202633386189007</v>
      </c>
      <c r="C45" s="123" t="s">
        <v>263</v>
      </c>
    </row>
    <row r="46" spans="1:5" x14ac:dyDescent="0.55000000000000004">
      <c r="A46" s="40" t="s">
        <v>291</v>
      </c>
      <c r="B46" s="175">
        <f>B31</f>
        <v>6.6405266772378013</v>
      </c>
      <c r="C46" s="123" t="s">
        <v>263</v>
      </c>
    </row>
    <row r="47" spans="1:5" ht="14.7" thickBot="1" x14ac:dyDescent="0.6">
      <c r="A47" s="86" t="s">
        <v>292</v>
      </c>
      <c r="B47" s="181">
        <f>B2</f>
        <v>1.1017995889650625</v>
      </c>
      <c r="C47" s="173" t="s">
        <v>284</v>
      </c>
    </row>
    <row r="48" spans="1:5" x14ac:dyDescent="0.55000000000000004">
      <c r="A48" s="45"/>
      <c r="B48" s="45"/>
      <c r="C48" s="45"/>
    </row>
    <row r="49" spans="1:4" x14ac:dyDescent="0.55000000000000004">
      <c r="A49" s="45"/>
      <c r="B49" s="45"/>
      <c r="C49" s="45"/>
    </row>
    <row r="52" spans="1:4" x14ac:dyDescent="0.55000000000000004">
      <c r="A52" t="s">
        <v>398</v>
      </c>
      <c r="B52">
        <v>46.73</v>
      </c>
      <c r="C52">
        <v>73.400000000000006</v>
      </c>
      <c r="D52">
        <f>C52-B52</f>
        <v>26.670000000000009</v>
      </c>
    </row>
    <row r="53" spans="1:4" x14ac:dyDescent="0.55000000000000004">
      <c r="A53" t="s">
        <v>399</v>
      </c>
      <c r="B53">
        <v>15</v>
      </c>
      <c r="C53">
        <v>20</v>
      </c>
    </row>
    <row r="54" spans="1:4" x14ac:dyDescent="0.55000000000000004">
      <c r="A54" t="s">
        <v>400</v>
      </c>
      <c r="B54">
        <v>24.31</v>
      </c>
    </row>
    <row r="55" spans="1:4" x14ac:dyDescent="0.55000000000000004">
      <c r="A55" t="s">
        <v>401</v>
      </c>
      <c r="B55">
        <v>19.02</v>
      </c>
    </row>
    <row r="58" spans="1:4" x14ac:dyDescent="0.55000000000000004">
      <c r="A58" t="s">
        <v>402</v>
      </c>
    </row>
  </sheetData>
  <mergeCells count="2">
    <mergeCell ref="A36:C36"/>
    <mergeCell ref="Q1:Q22"/>
  </mergeCells>
  <pageMargins left="0.7" right="0.7" top="0.75" bottom="0.75" header="0.3" footer="0.3"/>
  <pageSetup paperSize="9" orientation="portrait" verticalDpi="0"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CD7ED-74E8-4BF7-9FD9-1CAAB4590F46}">
  <dimension ref="A1:BF75"/>
  <sheetViews>
    <sheetView topLeftCell="AE68" zoomScale="94" zoomScaleNormal="175" workbookViewId="0">
      <selection activeCell="AJ98" sqref="AJ98"/>
    </sheetView>
  </sheetViews>
  <sheetFormatPr defaultRowHeight="14.4" x14ac:dyDescent="0.55000000000000004"/>
  <cols>
    <col min="1" max="1" width="28.15625" bestFit="1" customWidth="1"/>
    <col min="2" max="2" width="11.20703125" bestFit="1" customWidth="1"/>
    <col min="7" max="7" width="15.83984375" bestFit="1" customWidth="1"/>
    <col min="8" max="8" width="5.7890625" bestFit="1" customWidth="1"/>
    <col min="9" max="9" width="21.89453125" customWidth="1"/>
    <col min="10" max="10" width="16.62890625" bestFit="1" customWidth="1"/>
    <col min="11" max="11" width="45.83984375" bestFit="1" customWidth="1"/>
    <col min="12" max="12" width="19.578125" bestFit="1" customWidth="1"/>
    <col min="13" max="13" width="22.26171875" bestFit="1" customWidth="1"/>
    <col min="14" max="14" width="33.83984375" bestFit="1" customWidth="1"/>
    <col min="15" max="15" width="34.68359375" bestFit="1" customWidth="1"/>
    <col min="16" max="16" width="25.68359375" bestFit="1" customWidth="1"/>
    <col min="17" max="17" width="26.20703125" bestFit="1" customWidth="1"/>
    <col min="18" max="18" width="16.62890625" customWidth="1"/>
    <col min="19" max="21" width="15.05078125" customWidth="1"/>
    <col min="22" max="28" width="17" customWidth="1"/>
    <col min="29" max="29" width="28.83984375" bestFit="1" customWidth="1"/>
    <col min="30" max="30" width="28.9453125" bestFit="1" customWidth="1"/>
    <col min="31" max="31" width="19.5234375" bestFit="1" customWidth="1"/>
    <col min="32" max="32" width="11.578125" bestFit="1" customWidth="1"/>
    <col min="34" max="34" width="12.578125" bestFit="1" customWidth="1"/>
    <col min="35" max="36" width="14.89453125" bestFit="1" customWidth="1"/>
    <col min="37" max="37" width="29.20703125" bestFit="1" customWidth="1"/>
    <col min="38" max="38" width="13.734375" bestFit="1" customWidth="1"/>
    <col min="39" max="39" width="10.578125" bestFit="1" customWidth="1"/>
    <col min="40" max="40" width="10.578125" customWidth="1"/>
    <col min="41" max="43" width="16" bestFit="1" customWidth="1"/>
    <col min="48" max="48" width="12.578125" bestFit="1" customWidth="1"/>
    <col min="49" max="49" width="14.89453125" bestFit="1" customWidth="1"/>
    <col min="50" max="50" width="10.41796875" bestFit="1" customWidth="1"/>
    <col min="52" max="52" width="13.734375" bestFit="1" customWidth="1"/>
    <col min="53" max="53" width="10.05078125" bestFit="1" customWidth="1"/>
    <col min="54" max="54" width="10.578125" bestFit="1" customWidth="1"/>
    <col min="55" max="55" width="10.20703125" customWidth="1"/>
    <col min="56" max="57" width="16" bestFit="1" customWidth="1"/>
  </cols>
  <sheetData>
    <row r="1" spans="1:33" s="222" customFormat="1" ht="26.7" customHeight="1" thickBot="1" x14ac:dyDescent="0.6">
      <c r="A1" s="224" t="s">
        <v>188</v>
      </c>
      <c r="G1" s="225" t="s">
        <v>77</v>
      </c>
      <c r="H1" s="225" t="s">
        <v>78</v>
      </c>
      <c r="I1" s="224" t="s">
        <v>257</v>
      </c>
      <c r="J1" s="224" t="s">
        <v>181</v>
      </c>
      <c r="K1" s="224" t="s">
        <v>79</v>
      </c>
      <c r="L1" s="225" t="s">
        <v>258</v>
      </c>
      <c r="M1" s="225" t="s">
        <v>81</v>
      </c>
      <c r="N1" s="225" t="s">
        <v>82</v>
      </c>
      <c r="O1" s="224" t="s">
        <v>83</v>
      </c>
      <c r="P1" s="225" t="s">
        <v>84</v>
      </c>
      <c r="Q1" s="221" t="s">
        <v>85</v>
      </c>
      <c r="R1" s="340" t="s">
        <v>261</v>
      </c>
      <c r="S1" s="226" t="s">
        <v>342</v>
      </c>
      <c r="T1" s="226" t="s">
        <v>343</v>
      </c>
      <c r="U1" s="226"/>
      <c r="V1" s="226" t="s">
        <v>344</v>
      </c>
      <c r="W1" s="226" t="s">
        <v>94</v>
      </c>
      <c r="X1" s="222" t="s">
        <v>260</v>
      </c>
      <c r="Y1" s="222" t="s">
        <v>297</v>
      </c>
      <c r="Z1" s="227" t="s">
        <v>298</v>
      </c>
      <c r="AA1" s="222" t="s">
        <v>313</v>
      </c>
      <c r="AB1" s="222" t="s">
        <v>295</v>
      </c>
      <c r="AC1" s="222" t="s">
        <v>312</v>
      </c>
      <c r="AD1" s="222" t="s">
        <v>299</v>
      </c>
      <c r="AE1" s="225" t="s">
        <v>293</v>
      </c>
      <c r="AF1" s="227" t="s">
        <v>294</v>
      </c>
      <c r="AG1" s="227" t="s">
        <v>296</v>
      </c>
    </row>
    <row r="2" spans="1:33" ht="14.7" thickBot="1" x14ac:dyDescent="0.6">
      <c r="A2" s="21" t="s">
        <v>171</v>
      </c>
      <c r="B2" s="139">
        <f>'polarization curve'!X17*'contributi LCOH 0,08 '!B3/10^6+'output H2 PROVA'!K13*'contributi LCOH 0,08 '!B3/10^6</f>
        <v>0.73453305931004165</v>
      </c>
      <c r="G2" s="138">
        <f>B15+B19+B28</f>
        <v>36.657586509675355</v>
      </c>
      <c r="H2" s="40">
        <v>1</v>
      </c>
      <c r="I2" s="174">
        <f>$B$2</f>
        <v>0.73453305931004165</v>
      </c>
      <c r="J2" s="174">
        <f>$B$25</f>
        <v>0.19865671272529209</v>
      </c>
      <c r="K2" s="122">
        <f>$B$20+$B$29+$B$25</f>
        <v>0.2222961161024436</v>
      </c>
      <c r="L2" s="124">
        <f>$B$12</f>
        <v>0.82171640263643531</v>
      </c>
      <c r="M2" s="60"/>
      <c r="N2" s="40"/>
      <c r="O2" s="57">
        <f>'polarization curve'!$AB$17</f>
        <v>338619.39669083874</v>
      </c>
      <c r="P2" s="179">
        <f>G2+K2+L2+M2+N2+I2</f>
        <v>38.436132087724268</v>
      </c>
      <c r="Q2" s="40">
        <f>O2</f>
        <v>338619.39669083874</v>
      </c>
      <c r="R2" s="341"/>
      <c r="S2" s="177">
        <f t="shared" ref="S2:S22" si="0">(K2+L2)/(1+0.04)^H2</f>
        <v>1.0038581910950759</v>
      </c>
      <c r="T2" s="177">
        <f t="shared" ref="T2:T22" si="1">(I2)/(1+0.04)^H2</f>
        <v>0.7062817877981169</v>
      </c>
      <c r="U2" s="177"/>
      <c r="V2" s="177">
        <f t="shared" ref="V2:V22" si="2">SUM(S2:T2)</f>
        <v>1.7101399788931928</v>
      </c>
      <c r="W2" s="169">
        <f t="shared" ref="W2:W22" si="3">(I2+K2+L2)/(1+0.04)^H2</f>
        <v>1.7101399788931928</v>
      </c>
      <c r="X2" s="177">
        <f>SUM(W2:W22)</f>
        <v>24.951500387627824</v>
      </c>
      <c r="Y2" s="177">
        <f>G2+N12+M22</f>
        <v>46.618376525532057</v>
      </c>
      <c r="Z2" s="207">
        <f>(Y2+X2)*10^6/Q22</f>
        <v>10.064660826056397</v>
      </c>
      <c r="AA2" s="177">
        <f>G2</f>
        <v>36.657586509675355</v>
      </c>
      <c r="AB2" s="177">
        <f>(I2+K2+L2+M2+N2)/((1+0.04)^H2)</f>
        <v>1.7101399788931928</v>
      </c>
      <c r="AC2" s="177">
        <f>SUM(AB2:AB22)</f>
        <v>30.722103013560599</v>
      </c>
      <c r="AD2" s="112">
        <f t="shared" ref="AD2:AD22" si="4">($Q$2)/((1+0.04)^H2)</f>
        <v>325595.57374119107</v>
      </c>
      <c r="AE2" s="112">
        <f>SUM(AD2:AD22)</f>
        <v>4750545.6773609668</v>
      </c>
      <c r="AF2" s="208">
        <f>(AC2+AA2)*10^6/AE2</f>
        <v>14.183568393908562</v>
      </c>
      <c r="AG2" s="66">
        <f>(AA2+AC2)*10^6/(Q22)</f>
        <v>9.475407124692989</v>
      </c>
    </row>
    <row r="3" spans="1:33" ht="14.7" thickBot="1" x14ac:dyDescent="0.6">
      <c r="A3" s="16" t="s">
        <v>255</v>
      </c>
      <c r="B3" s="13">
        <v>80</v>
      </c>
      <c r="D3">
        <v>1</v>
      </c>
      <c r="E3">
        <v>2</v>
      </c>
      <c r="F3">
        <v>3</v>
      </c>
      <c r="H3" s="40">
        <v>2</v>
      </c>
      <c r="I3" s="174">
        <f t="shared" ref="I3:I22" si="5">$B$2</f>
        <v>0.73453305931004165</v>
      </c>
      <c r="J3" s="174">
        <f t="shared" ref="J3:J22" si="6">$B$25</f>
        <v>0.19865671272529209</v>
      </c>
      <c r="K3" s="146">
        <f t="shared" ref="K3:K22" si="7">$B$20+$B$29+$B$25</f>
        <v>0.2222961161024436</v>
      </c>
      <c r="L3" s="124">
        <f t="shared" ref="L3:L22" si="8">$B$12</f>
        <v>0.82171640263643531</v>
      </c>
      <c r="M3" s="60"/>
      <c r="N3" s="40"/>
      <c r="O3" s="60">
        <f>'polarization curve'!$AB$17</f>
        <v>338619.39669083874</v>
      </c>
      <c r="P3" s="179">
        <f t="shared" ref="P3:P22" si="9">P2+K3+L3+M3+N3+I3</f>
        <v>40.214677665773181</v>
      </c>
      <c r="Q3" s="40">
        <f>O3+Q2</f>
        <v>677238.79338167747</v>
      </c>
      <c r="R3" s="341"/>
      <c r="S3" s="177">
        <f t="shared" si="0"/>
        <v>0.96524826066834213</v>
      </c>
      <c r="T3" s="177">
        <f t="shared" si="1"/>
        <v>0.67911710365203548</v>
      </c>
      <c r="U3" s="177"/>
      <c r="V3" s="177">
        <f t="shared" si="2"/>
        <v>1.6443653643203775</v>
      </c>
      <c r="W3" s="169">
        <f t="shared" si="3"/>
        <v>1.6443653643203775</v>
      </c>
      <c r="X3" s="177"/>
      <c r="Y3" s="177"/>
      <c r="Z3" s="177"/>
      <c r="AA3" s="177"/>
      <c r="AB3" s="177">
        <f t="shared" ref="AB3:AB21" si="10">(I3+K3+L3+M3+N3)/((1+0.04)^H3)</f>
        <v>1.6443653643203775</v>
      </c>
      <c r="AC3" s="177"/>
      <c r="AD3" s="112">
        <f t="shared" si="4"/>
        <v>313072.66705883754</v>
      </c>
    </row>
    <row r="4" spans="1:33" x14ac:dyDescent="0.55000000000000004">
      <c r="D4" s="204">
        <f>Z2</f>
        <v>10.064660826056397</v>
      </c>
      <c r="E4">
        <f>AF2</f>
        <v>14.183568393908562</v>
      </c>
      <c r="F4">
        <f>AG2</f>
        <v>9.475407124692989</v>
      </c>
      <c r="H4" s="40">
        <v>3</v>
      </c>
      <c r="I4" s="174">
        <f t="shared" si="5"/>
        <v>0.73453305931004165</v>
      </c>
      <c r="J4" s="174">
        <f t="shared" si="6"/>
        <v>0.19865671272529209</v>
      </c>
      <c r="K4" s="146">
        <f t="shared" si="7"/>
        <v>0.2222961161024436</v>
      </c>
      <c r="L4" s="124">
        <f t="shared" si="8"/>
        <v>0.82171640263643531</v>
      </c>
      <c r="M4" s="60"/>
      <c r="N4" s="40"/>
      <c r="O4" s="60">
        <f>'polarization curve'!$AB$17</f>
        <v>338619.39669083874</v>
      </c>
      <c r="P4" s="179">
        <f t="shared" si="9"/>
        <v>41.993223243822094</v>
      </c>
      <c r="Q4" s="40">
        <f>O4+Q3</f>
        <v>1015858.1900725162</v>
      </c>
      <c r="R4" s="341"/>
      <c r="S4" s="177">
        <f t="shared" si="0"/>
        <v>0.92812332756571359</v>
      </c>
      <c r="T4" s="177">
        <f t="shared" si="1"/>
        <v>0.65299721505003416</v>
      </c>
      <c r="U4" s="177"/>
      <c r="V4" s="177">
        <f t="shared" si="2"/>
        <v>1.5811205426157477</v>
      </c>
      <c r="W4" s="169">
        <f t="shared" si="3"/>
        <v>1.5811205426157477</v>
      </c>
      <c r="X4" s="177"/>
      <c r="Y4" s="177"/>
      <c r="Z4" s="177"/>
      <c r="AA4" s="177"/>
      <c r="AB4" s="177">
        <f t="shared" si="10"/>
        <v>1.5811205426157477</v>
      </c>
      <c r="AC4" s="177"/>
      <c r="AD4" s="112">
        <f t="shared" si="4"/>
        <v>301031.41063349764</v>
      </c>
    </row>
    <row r="5" spans="1:33" x14ac:dyDescent="0.55000000000000004">
      <c r="A5" t="s">
        <v>302</v>
      </c>
      <c r="B5">
        <f>'polarization curve'!X17*1000</f>
        <v>8233528.9306411725</v>
      </c>
      <c r="C5">
        <f>B5/O2</f>
        <v>24.314994979919675</v>
      </c>
      <c r="H5" s="40">
        <v>4</v>
      </c>
      <c r="I5" s="174">
        <f t="shared" si="5"/>
        <v>0.73453305931004165</v>
      </c>
      <c r="J5" s="174">
        <f t="shared" si="6"/>
        <v>0.19865671272529209</v>
      </c>
      <c r="K5" s="146">
        <f t="shared" si="7"/>
        <v>0.2222961161024436</v>
      </c>
      <c r="L5" s="124">
        <f t="shared" si="8"/>
        <v>0.82171640263643531</v>
      </c>
      <c r="M5" s="60"/>
      <c r="N5" s="40"/>
      <c r="O5" s="60">
        <f>'polarization curve'!$AB$17</f>
        <v>338619.39669083874</v>
      </c>
      <c r="P5" s="179">
        <f t="shared" si="9"/>
        <v>43.771768821871007</v>
      </c>
      <c r="Q5" s="40">
        <f t="shared" ref="Q5:Q22" si="11">O5+Q4</f>
        <v>1354477.5867633549</v>
      </c>
      <c r="R5" s="341"/>
      <c r="S5" s="177">
        <f t="shared" si="0"/>
        <v>0.89242627650549367</v>
      </c>
      <c r="T5" s="177">
        <f t="shared" si="1"/>
        <v>0.62788193754810973</v>
      </c>
      <c r="U5" s="177"/>
      <c r="V5" s="177">
        <f t="shared" si="2"/>
        <v>1.5203082140536033</v>
      </c>
      <c r="W5" s="169">
        <f t="shared" si="3"/>
        <v>1.5203082140536033</v>
      </c>
      <c r="X5" s="177"/>
      <c r="Y5" s="177"/>
      <c r="Z5" s="177"/>
      <c r="AA5" s="177"/>
      <c r="AB5" s="177">
        <f t="shared" si="10"/>
        <v>1.5203082140536033</v>
      </c>
      <c r="AC5" s="177"/>
      <c r="AD5" s="112">
        <f t="shared" si="4"/>
        <v>289453.27945528616</v>
      </c>
    </row>
    <row r="6" spans="1:33" x14ac:dyDescent="0.55000000000000004">
      <c r="H6" s="40">
        <v>5</v>
      </c>
      <c r="I6" s="174">
        <f t="shared" si="5"/>
        <v>0.73453305931004165</v>
      </c>
      <c r="J6" s="174">
        <f t="shared" si="6"/>
        <v>0.19865671272529209</v>
      </c>
      <c r="K6" s="146">
        <f t="shared" si="7"/>
        <v>0.2222961161024436</v>
      </c>
      <c r="L6" s="124">
        <f t="shared" si="8"/>
        <v>0.82171640263643531</v>
      </c>
      <c r="M6" s="60"/>
      <c r="N6" s="40"/>
      <c r="O6" s="60">
        <f>'polarization curve'!$AB$17</f>
        <v>338619.39669083874</v>
      </c>
      <c r="P6" s="179">
        <f t="shared" si="9"/>
        <v>45.55031439991992</v>
      </c>
      <c r="Q6" s="40">
        <f t="shared" si="11"/>
        <v>1693096.9834541937</v>
      </c>
      <c r="R6" s="341"/>
      <c r="S6" s="177">
        <f t="shared" si="0"/>
        <v>0.85810218894759005</v>
      </c>
      <c r="T6" s="177">
        <f t="shared" si="1"/>
        <v>0.60373263225779772</v>
      </c>
      <c r="U6" s="177"/>
      <c r="V6" s="177">
        <f t="shared" si="2"/>
        <v>1.4618348212053878</v>
      </c>
      <c r="W6" s="169">
        <f t="shared" si="3"/>
        <v>1.4618348212053878</v>
      </c>
      <c r="X6" s="177"/>
      <c r="Y6" s="177"/>
      <c r="Z6" s="177"/>
      <c r="AA6" s="177"/>
      <c r="AB6" s="177">
        <f t="shared" si="10"/>
        <v>1.4618348212053878</v>
      </c>
      <c r="AC6" s="177"/>
      <c r="AD6" s="112">
        <f t="shared" si="4"/>
        <v>278320.4610146982</v>
      </c>
    </row>
    <row r="7" spans="1:33" x14ac:dyDescent="0.55000000000000004">
      <c r="H7" s="40">
        <v>6</v>
      </c>
      <c r="I7" s="174">
        <f t="shared" si="5"/>
        <v>0.73453305931004165</v>
      </c>
      <c r="J7" s="174">
        <f t="shared" si="6"/>
        <v>0.19865671272529209</v>
      </c>
      <c r="K7" s="146">
        <f t="shared" si="7"/>
        <v>0.2222961161024436</v>
      </c>
      <c r="L7" s="124">
        <f t="shared" si="8"/>
        <v>0.82171640263643531</v>
      </c>
      <c r="M7" s="60"/>
      <c r="N7" s="40"/>
      <c r="O7" s="60">
        <f>'polarization curve'!$AB$17</f>
        <v>338619.39669083874</v>
      </c>
      <c r="P7" s="179">
        <f t="shared" si="9"/>
        <v>47.328859977968833</v>
      </c>
      <c r="Q7" s="40">
        <f t="shared" si="11"/>
        <v>2031716.3801450324</v>
      </c>
      <c r="R7" s="341"/>
      <c r="S7" s="177">
        <f t="shared" si="0"/>
        <v>0.82509825860345198</v>
      </c>
      <c r="T7" s="177">
        <f t="shared" si="1"/>
        <v>0.58051214640172855</v>
      </c>
      <c r="U7" s="177"/>
      <c r="V7" s="177">
        <f t="shared" si="2"/>
        <v>1.4056104050051805</v>
      </c>
      <c r="W7" s="169">
        <f t="shared" si="3"/>
        <v>1.4056104050051805</v>
      </c>
      <c r="X7" s="177"/>
      <c r="Y7" s="177"/>
      <c r="Z7" s="177"/>
      <c r="AA7" s="177"/>
      <c r="AB7" s="177">
        <f t="shared" si="10"/>
        <v>1.4056104050051805</v>
      </c>
      <c r="AC7" s="177"/>
      <c r="AD7" s="112">
        <f t="shared" si="4"/>
        <v>267615.82789874828</v>
      </c>
    </row>
    <row r="8" spans="1:33" x14ac:dyDescent="0.55000000000000004">
      <c r="H8" s="40">
        <v>7</v>
      </c>
      <c r="I8" s="174">
        <f t="shared" si="5"/>
        <v>0.73453305931004165</v>
      </c>
      <c r="J8" s="174">
        <f t="shared" si="6"/>
        <v>0.19865671272529209</v>
      </c>
      <c r="K8" s="146">
        <f t="shared" si="7"/>
        <v>0.2222961161024436</v>
      </c>
      <c r="L8" s="124">
        <f t="shared" si="8"/>
        <v>0.82171640263643531</v>
      </c>
      <c r="M8" s="60"/>
      <c r="N8" s="40"/>
      <c r="O8" s="60">
        <f>'polarization curve'!$AB$17</f>
        <v>338619.39669083874</v>
      </c>
      <c r="P8" s="179">
        <f t="shared" si="9"/>
        <v>49.107405556017746</v>
      </c>
      <c r="Q8" s="40">
        <f t="shared" si="11"/>
        <v>2370335.7768358709</v>
      </c>
      <c r="R8" s="341"/>
      <c r="S8" s="177">
        <f t="shared" si="0"/>
        <v>0.7933637101956269</v>
      </c>
      <c r="T8" s="177">
        <f t="shared" si="1"/>
        <v>0.55818475615550833</v>
      </c>
      <c r="U8" s="177"/>
      <c r="V8" s="177">
        <f t="shared" si="2"/>
        <v>1.3515484663511352</v>
      </c>
      <c r="W8" s="169">
        <f t="shared" si="3"/>
        <v>1.3515484663511352</v>
      </c>
      <c r="X8" s="177"/>
      <c r="Y8" s="177"/>
      <c r="Z8" s="177"/>
      <c r="AA8" s="177"/>
      <c r="AB8" s="177">
        <f t="shared" si="10"/>
        <v>1.3515484663511352</v>
      </c>
      <c r="AC8" s="177"/>
      <c r="AD8" s="112">
        <f t="shared" si="4"/>
        <v>257322.91144110414</v>
      </c>
    </row>
    <row r="9" spans="1:33" x14ac:dyDescent="0.55000000000000004">
      <c r="H9" s="40">
        <v>8</v>
      </c>
      <c r="I9" s="174">
        <f t="shared" si="5"/>
        <v>0.73453305931004165</v>
      </c>
      <c r="J9" s="174">
        <f t="shared" si="6"/>
        <v>0.19865671272529209</v>
      </c>
      <c r="K9" s="146">
        <f t="shared" si="7"/>
        <v>0.2222961161024436</v>
      </c>
      <c r="L9" s="124">
        <f t="shared" si="8"/>
        <v>0.82171640263643531</v>
      </c>
      <c r="M9" s="60"/>
      <c r="N9" s="40"/>
      <c r="O9" s="60">
        <f>'polarization curve'!$AB$17</f>
        <v>338619.39669083874</v>
      </c>
      <c r="P9" s="179">
        <f t="shared" si="9"/>
        <v>50.885951134066659</v>
      </c>
      <c r="Q9" s="40">
        <f t="shared" si="11"/>
        <v>2708955.1735267099</v>
      </c>
      <c r="R9" s="341"/>
      <c r="S9" s="177">
        <f t="shared" si="0"/>
        <v>0.76284972134194884</v>
      </c>
      <c r="T9" s="177">
        <f t="shared" si="1"/>
        <v>0.53671611168798861</v>
      </c>
      <c r="U9" s="177"/>
      <c r="V9" s="177">
        <f t="shared" si="2"/>
        <v>1.2995658330299373</v>
      </c>
      <c r="W9" s="169">
        <f t="shared" si="3"/>
        <v>1.2995658330299376</v>
      </c>
      <c r="X9" s="177"/>
      <c r="Y9" s="177"/>
      <c r="Z9" s="177"/>
      <c r="AA9" s="177"/>
      <c r="AB9" s="177">
        <f t="shared" si="10"/>
        <v>1.2995658330299376</v>
      </c>
      <c r="AC9" s="177"/>
      <c r="AD9" s="112">
        <f t="shared" si="4"/>
        <v>247425.87638567702</v>
      </c>
    </row>
    <row r="10" spans="1:33" ht="14.7" thickBot="1" x14ac:dyDescent="0.6">
      <c r="H10" s="40">
        <v>9</v>
      </c>
      <c r="I10" s="174">
        <f t="shared" si="5"/>
        <v>0.73453305931004165</v>
      </c>
      <c r="J10" s="174">
        <f t="shared" si="6"/>
        <v>0.19865671272529209</v>
      </c>
      <c r="K10" s="146">
        <f t="shared" si="7"/>
        <v>0.2222961161024436</v>
      </c>
      <c r="L10" s="124">
        <f t="shared" si="8"/>
        <v>0.82171640263643531</v>
      </c>
      <c r="M10" s="60"/>
      <c r="N10" s="40"/>
      <c r="O10" s="60">
        <f>'polarization curve'!$AB$17</f>
        <v>338619.39669083874</v>
      </c>
      <c r="P10" s="179">
        <f t="shared" si="9"/>
        <v>52.664496712115572</v>
      </c>
      <c r="Q10" s="40">
        <f t="shared" si="11"/>
        <v>3047574.5702175489</v>
      </c>
      <c r="R10" s="341"/>
      <c r="S10" s="177">
        <f t="shared" si="0"/>
        <v>0.7335093474441815</v>
      </c>
      <c r="T10" s="177">
        <f t="shared" si="1"/>
        <v>0.51607318431537363</v>
      </c>
      <c r="U10" s="177"/>
      <c r="V10" s="177">
        <f t="shared" si="2"/>
        <v>1.2495825317595552</v>
      </c>
      <c r="W10" s="169">
        <f t="shared" si="3"/>
        <v>1.2495825317595552</v>
      </c>
      <c r="X10" s="177"/>
      <c r="Y10" s="177"/>
      <c r="Z10" s="177"/>
      <c r="AA10" s="177"/>
      <c r="AB10" s="177">
        <f t="shared" si="10"/>
        <v>1.2495825317595552</v>
      </c>
      <c r="AC10" s="177"/>
      <c r="AD10" s="112">
        <f t="shared" si="4"/>
        <v>237909.49652468943</v>
      </c>
    </row>
    <row r="11" spans="1:33" ht="14.7" thickBot="1" x14ac:dyDescent="0.6">
      <c r="A11" s="116" t="s">
        <v>90</v>
      </c>
      <c r="H11" s="40">
        <v>10</v>
      </c>
      <c r="I11" s="174">
        <f t="shared" si="5"/>
        <v>0.73453305931004165</v>
      </c>
      <c r="J11" s="174">
        <f t="shared" si="6"/>
        <v>0.19865671272529209</v>
      </c>
      <c r="K11" s="146">
        <f t="shared" si="7"/>
        <v>0.2222961161024436</v>
      </c>
      <c r="L11" s="124">
        <f t="shared" si="8"/>
        <v>0.82171640263643531</v>
      </c>
      <c r="M11" s="60"/>
      <c r="N11" s="40"/>
      <c r="O11" s="60">
        <f>'polarization curve'!$AB$17</f>
        <v>338619.39669083874</v>
      </c>
      <c r="P11" s="179">
        <f t="shared" si="9"/>
        <v>54.443042290164485</v>
      </c>
      <c r="Q11" s="40">
        <f t="shared" si="11"/>
        <v>3386193.9669083878</v>
      </c>
      <c r="R11" s="341"/>
      <c r="S11" s="177">
        <f t="shared" si="0"/>
        <v>0.70529744946555917</v>
      </c>
      <c r="T11" s="177">
        <f t="shared" si="1"/>
        <v>0.49622421568785929</v>
      </c>
      <c r="U11" s="177"/>
      <c r="V11" s="177">
        <f t="shared" si="2"/>
        <v>1.2015216651534184</v>
      </c>
      <c r="W11" s="169">
        <f t="shared" si="3"/>
        <v>1.2015216651534184</v>
      </c>
      <c r="X11" s="177"/>
      <c r="Y11" s="177"/>
      <c r="Z11" s="177"/>
      <c r="AA11" s="177"/>
      <c r="AB11" s="177">
        <f t="shared" si="10"/>
        <v>1.2015216651534184</v>
      </c>
      <c r="AC11" s="177"/>
      <c r="AD11" s="112">
        <f t="shared" si="4"/>
        <v>228759.13127373983</v>
      </c>
    </row>
    <row r="12" spans="1:33" ht="14.7" thickBot="1" x14ac:dyDescent="0.6">
      <c r="A12" s="16" t="s">
        <v>314</v>
      </c>
      <c r="B12" s="138">
        <f>'output H2 PROVA'!B12*'output H2 PROVA'!B13/10^6</f>
        <v>0.82171640263643531</v>
      </c>
      <c r="H12" s="40">
        <v>11</v>
      </c>
      <c r="I12" s="174">
        <f t="shared" si="5"/>
        <v>0.73453305931004165</v>
      </c>
      <c r="J12" s="174">
        <f t="shared" si="6"/>
        <v>0.19865671272529209</v>
      </c>
      <c r="K12" s="146">
        <f t="shared" si="7"/>
        <v>0.2222961161024436</v>
      </c>
      <c r="L12" s="124">
        <f t="shared" si="8"/>
        <v>0.82171640263643531</v>
      </c>
      <c r="M12" s="60"/>
      <c r="N12" s="40">
        <f>B31</f>
        <v>6.6405266772378013</v>
      </c>
      <c r="O12" s="60">
        <f>'polarization curve'!$AB$17</f>
        <v>338619.39669083874</v>
      </c>
      <c r="P12" s="179">
        <f t="shared" si="9"/>
        <v>62.862114545451199</v>
      </c>
      <c r="Q12" s="40">
        <f t="shared" si="11"/>
        <v>3724813.3635992268</v>
      </c>
      <c r="R12" s="341"/>
      <c r="S12" s="177">
        <f t="shared" si="0"/>
        <v>0.67817062448611465</v>
      </c>
      <c r="T12" s="177">
        <f t="shared" si="1"/>
        <v>0.47713866893063395</v>
      </c>
      <c r="U12" s="177"/>
      <c r="V12" s="177">
        <f t="shared" si="2"/>
        <v>1.1553092934167486</v>
      </c>
      <c r="W12" s="169">
        <f t="shared" si="3"/>
        <v>1.1553092934167486</v>
      </c>
      <c r="X12" s="177"/>
      <c r="Y12" s="177"/>
      <c r="Z12" s="177"/>
      <c r="AA12" s="177"/>
      <c r="AB12" s="177">
        <f>(I12+K12+L12+M12+N12)/((1+0.04)^H12)</f>
        <v>5.4688687984876116</v>
      </c>
      <c r="AC12" s="177"/>
      <c r="AD12" s="112">
        <f t="shared" si="4"/>
        <v>219960.70314782677</v>
      </c>
    </row>
    <row r="13" spans="1:33" ht="14.7" thickBot="1" x14ac:dyDescent="0.6">
      <c r="H13" s="40">
        <v>12</v>
      </c>
      <c r="I13" s="174">
        <f t="shared" si="5"/>
        <v>0.73453305931004165</v>
      </c>
      <c r="J13" s="174">
        <f t="shared" si="6"/>
        <v>0.19865671272529209</v>
      </c>
      <c r="K13" s="146">
        <f t="shared" si="7"/>
        <v>0.2222961161024436</v>
      </c>
      <c r="L13" s="124">
        <f t="shared" si="8"/>
        <v>0.82171640263643531</v>
      </c>
      <c r="M13" s="60"/>
      <c r="N13" s="40"/>
      <c r="O13" s="60">
        <f>'polarization curve'!$AB$17</f>
        <v>338619.39669083874</v>
      </c>
      <c r="P13" s="179">
        <f t="shared" si="9"/>
        <v>64.640660123500112</v>
      </c>
      <c r="Q13" s="40">
        <f t="shared" si="11"/>
        <v>4063432.7602900658</v>
      </c>
      <c r="R13" s="341"/>
      <c r="S13" s="177">
        <f t="shared" si="0"/>
        <v>0.6520871389289562</v>
      </c>
      <c r="T13" s="177">
        <f t="shared" si="1"/>
        <v>0.45878718166407101</v>
      </c>
      <c r="U13" s="177"/>
      <c r="V13" s="177">
        <f t="shared" si="2"/>
        <v>1.1108743205930272</v>
      </c>
      <c r="W13" s="169">
        <f t="shared" si="3"/>
        <v>1.1108743205930272</v>
      </c>
      <c r="X13" s="177"/>
      <c r="Y13" s="177"/>
      <c r="Z13" s="177"/>
      <c r="AA13" s="177"/>
      <c r="AB13" s="177">
        <f t="shared" si="10"/>
        <v>1.1108743205930272</v>
      </c>
      <c r="AC13" s="177"/>
      <c r="AD13" s="112">
        <f t="shared" si="4"/>
        <v>211500.67610367955</v>
      </c>
    </row>
    <row r="14" spans="1:33" ht="14.7" thickBot="1" x14ac:dyDescent="0.6">
      <c r="A14" s="116" t="s">
        <v>92</v>
      </c>
      <c r="H14" s="40">
        <v>13</v>
      </c>
      <c r="I14" s="174">
        <f t="shared" si="5"/>
        <v>0.73453305931004165</v>
      </c>
      <c r="J14" s="174">
        <f t="shared" si="6"/>
        <v>0.19865671272529209</v>
      </c>
      <c r="K14" s="146">
        <f t="shared" si="7"/>
        <v>0.2222961161024436</v>
      </c>
      <c r="L14" s="124">
        <f t="shared" si="8"/>
        <v>0.82171640263643531</v>
      </c>
      <c r="M14" s="60"/>
      <c r="N14" s="40"/>
      <c r="O14" s="60">
        <f>'polarization curve'!$AB$17</f>
        <v>338619.39669083874</v>
      </c>
      <c r="P14" s="179">
        <f t="shared" si="9"/>
        <v>66.419205701549032</v>
      </c>
      <c r="Q14" s="40">
        <f t="shared" si="11"/>
        <v>4402052.1569809048</v>
      </c>
      <c r="R14" s="341"/>
      <c r="S14" s="177">
        <f t="shared" si="0"/>
        <v>0.6270068643547656</v>
      </c>
      <c r="T14" s="177">
        <f t="shared" si="1"/>
        <v>0.44114152083083752</v>
      </c>
      <c r="U14" s="177"/>
      <c r="V14" s="177">
        <f t="shared" si="2"/>
        <v>1.0681483851856031</v>
      </c>
      <c r="W14" s="169">
        <f t="shared" si="3"/>
        <v>1.0681483851856031</v>
      </c>
      <c r="X14" s="177"/>
      <c r="Y14" s="177"/>
      <c r="Z14" s="177"/>
      <c r="AA14" s="177"/>
      <c r="AB14" s="177">
        <f t="shared" si="10"/>
        <v>1.0681483851856031</v>
      </c>
      <c r="AC14" s="177"/>
      <c r="AD14" s="112">
        <f t="shared" si="4"/>
        <v>203366.03471507647</v>
      </c>
    </row>
    <row r="15" spans="1:33" x14ac:dyDescent="0.55000000000000004">
      <c r="A15" s="7" t="s">
        <v>93</v>
      </c>
      <c r="B15" s="135">
        <f>'output H2 PROVA'!B15*'output H2 PROVA'!B14</f>
        <v>0.22177999999999998</v>
      </c>
      <c r="H15" s="40">
        <v>14</v>
      </c>
      <c r="I15" s="174">
        <f t="shared" si="5"/>
        <v>0.73453305931004165</v>
      </c>
      <c r="J15" s="174">
        <f t="shared" si="6"/>
        <v>0.19865671272529209</v>
      </c>
      <c r="K15" s="146">
        <f t="shared" si="7"/>
        <v>0.2222961161024436</v>
      </c>
      <c r="L15" s="124">
        <f t="shared" si="8"/>
        <v>0.82171640263643531</v>
      </c>
      <c r="M15" s="60"/>
      <c r="N15" s="40"/>
      <c r="O15" s="60">
        <f>'polarization curve'!$AB$17</f>
        <v>338619.39669083874</v>
      </c>
      <c r="P15" s="179">
        <f t="shared" si="9"/>
        <v>68.197751279597952</v>
      </c>
      <c r="Q15" s="40">
        <f t="shared" si="11"/>
        <v>4740671.5536717437</v>
      </c>
      <c r="R15" s="341"/>
      <c r="S15" s="177">
        <f t="shared" si="0"/>
        <v>0.60289121572573612</v>
      </c>
      <c r="T15" s="177">
        <f t="shared" si="1"/>
        <v>0.4241745392604207</v>
      </c>
      <c r="U15" s="177"/>
      <c r="V15" s="177">
        <f t="shared" si="2"/>
        <v>1.0270657549861568</v>
      </c>
      <c r="W15" s="169">
        <f t="shared" si="3"/>
        <v>1.0270657549861568</v>
      </c>
      <c r="X15" s="177"/>
      <c r="Y15" s="177"/>
      <c r="Z15" s="177"/>
      <c r="AA15" s="177"/>
      <c r="AB15" s="177">
        <f t="shared" si="10"/>
        <v>1.0270657549861568</v>
      </c>
      <c r="AC15" s="177"/>
      <c r="AD15" s="112">
        <f t="shared" si="4"/>
        <v>195544.26414911202</v>
      </c>
    </row>
    <row r="16" spans="1:33" ht="14.7" thickBot="1" x14ac:dyDescent="0.6">
      <c r="A16" s="16" t="s">
        <v>94</v>
      </c>
      <c r="B16" s="16"/>
      <c r="H16" s="40">
        <v>15</v>
      </c>
      <c r="I16" s="174">
        <f t="shared" si="5"/>
        <v>0.73453305931004165</v>
      </c>
      <c r="J16" s="174">
        <f t="shared" si="6"/>
        <v>0.19865671272529209</v>
      </c>
      <c r="K16" s="146">
        <f t="shared" si="7"/>
        <v>0.2222961161024436</v>
      </c>
      <c r="L16" s="124">
        <f t="shared" si="8"/>
        <v>0.82171640263643531</v>
      </c>
      <c r="M16" s="60"/>
      <c r="N16" s="40"/>
      <c r="O16" s="60">
        <f>'polarization curve'!$AB$17</f>
        <v>338619.39669083874</v>
      </c>
      <c r="P16" s="179">
        <f t="shared" si="9"/>
        <v>69.976296857646872</v>
      </c>
      <c r="Q16" s="40">
        <f t="shared" si="11"/>
        <v>5079290.9503625827</v>
      </c>
      <c r="R16" s="341"/>
      <c r="S16" s="177">
        <f t="shared" si="0"/>
        <v>0.57970309204397708</v>
      </c>
      <c r="T16" s="177">
        <f t="shared" si="1"/>
        <v>0.40786013390425069</v>
      </c>
      <c r="U16" s="177"/>
      <c r="V16" s="177">
        <f t="shared" si="2"/>
        <v>0.98756322594822776</v>
      </c>
      <c r="W16" s="169">
        <f t="shared" si="3"/>
        <v>0.98756322594822776</v>
      </c>
      <c r="X16" s="177"/>
      <c r="Y16" s="177"/>
      <c r="Z16" s="177"/>
      <c r="AA16" s="177"/>
      <c r="AB16" s="177">
        <f t="shared" si="10"/>
        <v>0.98756322594822776</v>
      </c>
      <c r="AC16" s="177"/>
      <c r="AD16" s="112">
        <f t="shared" si="4"/>
        <v>188023.33091260769</v>
      </c>
    </row>
    <row r="17" spans="1:43" ht="14.7" thickBot="1" x14ac:dyDescent="0.6">
      <c r="H17" s="40">
        <v>16</v>
      </c>
      <c r="I17" s="174">
        <f t="shared" si="5"/>
        <v>0.73453305931004165</v>
      </c>
      <c r="J17" s="174">
        <f t="shared" si="6"/>
        <v>0.19865671272529209</v>
      </c>
      <c r="K17" s="146">
        <f t="shared" si="7"/>
        <v>0.2222961161024436</v>
      </c>
      <c r="L17" s="124">
        <f t="shared" si="8"/>
        <v>0.82171640263643531</v>
      </c>
      <c r="M17" s="60"/>
      <c r="N17" s="40"/>
      <c r="O17" s="60">
        <f>'polarization curve'!$AB$17</f>
        <v>338619.39669083874</v>
      </c>
      <c r="P17" s="179">
        <f t="shared" si="9"/>
        <v>71.754842435695792</v>
      </c>
      <c r="Q17" s="40">
        <f t="shared" si="11"/>
        <v>5417910.3470534217</v>
      </c>
      <c r="R17" s="341"/>
      <c r="S17" s="177">
        <f t="shared" si="0"/>
        <v>0.5574068192730548</v>
      </c>
      <c r="T17" s="177">
        <f t="shared" si="1"/>
        <v>0.39217320567716402</v>
      </c>
      <c r="U17" s="177"/>
      <c r="V17" s="177">
        <f t="shared" si="2"/>
        <v>0.94958002495021887</v>
      </c>
      <c r="W17" s="169">
        <f t="shared" si="3"/>
        <v>0.94958002495021887</v>
      </c>
      <c r="X17" s="177"/>
      <c r="Y17" s="177"/>
      <c r="Z17" s="177"/>
      <c r="AA17" s="177"/>
      <c r="AB17" s="177">
        <f t="shared" si="10"/>
        <v>0.94958002495021887</v>
      </c>
      <c r="AC17" s="177"/>
      <c r="AD17" s="112">
        <f t="shared" si="4"/>
        <v>180791.66433904585</v>
      </c>
    </row>
    <row r="18" spans="1:43" ht="14.7" thickBot="1" x14ac:dyDescent="0.6">
      <c r="A18" s="116" t="s">
        <v>96</v>
      </c>
      <c r="H18" s="40">
        <v>17</v>
      </c>
      <c r="I18" s="174">
        <f t="shared" si="5"/>
        <v>0.73453305931004165</v>
      </c>
      <c r="J18" s="174">
        <f t="shared" si="6"/>
        <v>0.19865671272529209</v>
      </c>
      <c r="K18" s="146">
        <f t="shared" si="7"/>
        <v>0.2222961161024436</v>
      </c>
      <c r="L18" s="124">
        <f t="shared" si="8"/>
        <v>0.82171640263643531</v>
      </c>
      <c r="M18" s="60"/>
      <c r="N18" s="40"/>
      <c r="O18" s="60">
        <f>'polarization curve'!$AB$17</f>
        <v>338619.39669083874</v>
      </c>
      <c r="P18" s="179">
        <f t="shared" si="9"/>
        <v>73.533388013744712</v>
      </c>
      <c r="Q18" s="40">
        <f t="shared" si="11"/>
        <v>5756529.7437442606</v>
      </c>
      <c r="R18" s="341"/>
      <c r="S18" s="177">
        <f t="shared" si="0"/>
        <v>0.53596809545486035</v>
      </c>
      <c r="T18" s="177">
        <f t="shared" si="1"/>
        <v>0.37708962084342695</v>
      </c>
      <c r="U18" s="177"/>
      <c r="V18" s="177">
        <f t="shared" si="2"/>
        <v>0.91305771629828736</v>
      </c>
      <c r="W18" s="169">
        <f t="shared" si="3"/>
        <v>0.91305771629828736</v>
      </c>
      <c r="X18" s="177"/>
      <c r="Y18" s="177"/>
      <c r="Z18" s="177"/>
      <c r="AA18" s="177"/>
      <c r="AB18" s="177">
        <f t="shared" si="10"/>
        <v>0.91305771629828736</v>
      </c>
      <c r="AC18" s="177"/>
      <c r="AD18" s="112">
        <f t="shared" si="4"/>
        <v>173838.13878754407</v>
      </c>
    </row>
    <row r="19" spans="1:43" x14ac:dyDescent="0.55000000000000004">
      <c r="A19" s="7" t="s">
        <v>93</v>
      </c>
      <c r="B19" s="135">
        <f>'output H2 PROVA'!G16+'output H2 PROVA'!K17</f>
        <v>3.2331731234863463</v>
      </c>
      <c r="C19" t="s">
        <v>168</v>
      </c>
      <c r="H19" s="40">
        <v>18</v>
      </c>
      <c r="I19" s="174">
        <f t="shared" si="5"/>
        <v>0.73453305931004165</v>
      </c>
      <c r="J19" s="174">
        <f t="shared" si="6"/>
        <v>0.19865671272529209</v>
      </c>
      <c r="K19" s="146">
        <f t="shared" si="7"/>
        <v>0.2222961161024436</v>
      </c>
      <c r="L19" s="124">
        <f t="shared" si="8"/>
        <v>0.82171640263643531</v>
      </c>
      <c r="M19" s="60"/>
      <c r="N19" s="40"/>
      <c r="O19" s="60">
        <f>'polarization curve'!$AB$17</f>
        <v>338619.39669083874</v>
      </c>
      <c r="P19" s="179">
        <f t="shared" si="9"/>
        <v>75.311933591793633</v>
      </c>
      <c r="Q19" s="40">
        <f t="shared" si="11"/>
        <v>6095149.1404350996</v>
      </c>
      <c r="R19" s="341"/>
      <c r="S19" s="177">
        <f t="shared" si="0"/>
        <v>0.51535393793736572</v>
      </c>
      <c r="T19" s="177">
        <f t="shared" si="1"/>
        <v>0.36258617388791048</v>
      </c>
      <c r="U19" s="177"/>
      <c r="V19" s="177">
        <f t="shared" si="2"/>
        <v>0.8779401118252762</v>
      </c>
      <c r="W19" s="169">
        <f t="shared" si="3"/>
        <v>0.8779401118252762</v>
      </c>
      <c r="X19" s="177"/>
      <c r="Y19" s="177"/>
      <c r="Z19" s="177"/>
      <c r="AA19" s="177"/>
      <c r="AB19" s="177">
        <f t="shared" si="10"/>
        <v>0.8779401118252762</v>
      </c>
      <c r="AC19" s="177"/>
      <c r="AD19" s="112">
        <f t="shared" si="4"/>
        <v>167152.05652648467</v>
      </c>
    </row>
    <row r="20" spans="1:43" ht="14.7" thickBot="1" x14ac:dyDescent="0.6">
      <c r="A20" s="16" t="s">
        <v>94</v>
      </c>
      <c r="B20" s="16">
        <f>'output H2 PROVA'!G17*'output H2 PROVA'!G15/10^6+'output H2 PROVA'!K18</f>
        <v>1.8000000000000002E-2</v>
      </c>
      <c r="C20" t="s">
        <v>97</v>
      </c>
      <c r="H20" s="40">
        <v>19</v>
      </c>
      <c r="I20" s="174">
        <f t="shared" si="5"/>
        <v>0.73453305931004165</v>
      </c>
      <c r="J20" s="174">
        <f t="shared" si="6"/>
        <v>0.19865671272529209</v>
      </c>
      <c r="K20" s="146">
        <f t="shared" si="7"/>
        <v>0.2222961161024436</v>
      </c>
      <c r="L20" s="124">
        <f t="shared" si="8"/>
        <v>0.82171640263643531</v>
      </c>
      <c r="M20" s="60"/>
      <c r="N20" s="45"/>
      <c r="O20" s="60">
        <f>'polarization curve'!$AB$17</f>
        <v>338619.39669083874</v>
      </c>
      <c r="P20" s="179">
        <f t="shared" si="9"/>
        <v>77.090479169842553</v>
      </c>
      <c r="Q20" s="40">
        <f t="shared" si="11"/>
        <v>6433768.5371259386</v>
      </c>
      <c r="R20" s="341"/>
      <c r="S20" s="177">
        <f t="shared" si="0"/>
        <v>0.49553263263208241</v>
      </c>
      <c r="T20" s="177">
        <f t="shared" si="1"/>
        <v>0.34864055181529857</v>
      </c>
      <c r="U20" s="177"/>
      <c r="V20" s="177">
        <f t="shared" si="2"/>
        <v>0.84417318444738099</v>
      </c>
      <c r="W20" s="169">
        <f t="shared" si="3"/>
        <v>0.84417318444738099</v>
      </c>
      <c r="X20" s="177"/>
      <c r="Y20" s="177"/>
      <c r="Z20" s="177"/>
      <c r="AA20" s="177"/>
      <c r="AB20" s="177">
        <f t="shared" si="10"/>
        <v>0.84417318444738099</v>
      </c>
      <c r="AC20" s="177"/>
      <c r="AD20" s="112">
        <f t="shared" si="4"/>
        <v>160723.13127546603</v>
      </c>
    </row>
    <row r="21" spans="1:43" ht="14.7" thickBot="1" x14ac:dyDescent="0.6">
      <c r="H21" s="40">
        <v>20</v>
      </c>
      <c r="I21" s="174">
        <f t="shared" si="5"/>
        <v>0.73453305931004165</v>
      </c>
      <c r="J21" s="174">
        <f t="shared" si="6"/>
        <v>0.19865671272529209</v>
      </c>
      <c r="K21" s="146">
        <f t="shared" si="7"/>
        <v>0.2222961161024436</v>
      </c>
      <c r="L21" s="124">
        <f t="shared" si="8"/>
        <v>0.82171640263643531</v>
      </c>
      <c r="M21" s="60"/>
      <c r="N21" s="40"/>
      <c r="O21" s="60">
        <f>'polarization curve'!$AB$17</f>
        <v>338619.39669083874</v>
      </c>
      <c r="P21" s="179">
        <f t="shared" si="9"/>
        <v>78.869024747891473</v>
      </c>
      <c r="Q21" s="40">
        <f t="shared" si="11"/>
        <v>6772387.9338167775</v>
      </c>
      <c r="R21" s="341"/>
      <c r="S21" s="177">
        <f t="shared" si="0"/>
        <v>0.47647368522315614</v>
      </c>
      <c r="T21" s="177">
        <f t="shared" si="1"/>
        <v>0.33523129982240246</v>
      </c>
      <c r="U21" s="177"/>
      <c r="V21" s="177">
        <f t="shared" si="2"/>
        <v>0.81170498504555866</v>
      </c>
      <c r="W21" s="169">
        <f t="shared" si="3"/>
        <v>0.81170498504555855</v>
      </c>
      <c r="X21" s="177"/>
      <c r="Y21" s="177"/>
      <c r="Z21" s="177"/>
      <c r="AA21" s="177"/>
      <c r="AB21" s="177">
        <f t="shared" si="10"/>
        <v>0.81170498504555855</v>
      </c>
      <c r="AC21" s="177"/>
      <c r="AD21" s="112">
        <f t="shared" si="4"/>
        <v>154541.47238025579</v>
      </c>
    </row>
    <row r="22" spans="1:43" ht="14.7" thickBot="1" x14ac:dyDescent="0.6">
      <c r="A22" s="128" t="s">
        <v>98</v>
      </c>
      <c r="B22" s="130"/>
      <c r="C22" s="130"/>
      <c r="G22" t="s">
        <v>218</v>
      </c>
      <c r="H22" s="86">
        <v>21</v>
      </c>
      <c r="I22" s="180">
        <f t="shared" si="5"/>
        <v>0.73453305931004165</v>
      </c>
      <c r="J22" s="174">
        <f t="shared" si="6"/>
        <v>0.19865671272529209</v>
      </c>
      <c r="K22" s="147">
        <f t="shared" si="7"/>
        <v>0.2222961161024436</v>
      </c>
      <c r="L22" s="125">
        <f t="shared" si="8"/>
        <v>0.82171640263643531</v>
      </c>
      <c r="M22" s="181">
        <f>B30</f>
        <v>3.3202633386189007</v>
      </c>
      <c r="N22" s="86"/>
      <c r="O22" s="58">
        <f>'polarization curve'!$AB$17</f>
        <v>338619.39669083874</v>
      </c>
      <c r="P22" s="182">
        <f t="shared" si="9"/>
        <v>83.967833664559294</v>
      </c>
      <c r="Q22" s="86">
        <f t="shared" si="11"/>
        <v>7111007.3305076165</v>
      </c>
      <c r="R22" s="342"/>
      <c r="S22" s="177">
        <f t="shared" si="0"/>
        <v>0.45814777425303466</v>
      </c>
      <c r="T22" s="177">
        <f t="shared" si="1"/>
        <v>0.32233778829077153</v>
      </c>
      <c r="U22" s="177"/>
      <c r="V22" s="177">
        <f t="shared" si="2"/>
        <v>0.78048556254380619</v>
      </c>
      <c r="W22" s="183">
        <f t="shared" si="3"/>
        <v>0.78048556254380619</v>
      </c>
      <c r="X22" s="178"/>
      <c r="Y22" s="178"/>
      <c r="Z22" s="178"/>
      <c r="AA22" s="178"/>
      <c r="AB22" s="177">
        <f>(I22+K22+L22+M22+N22)/((1+0.04)^H22)</f>
        <v>2.2375286834057158</v>
      </c>
      <c r="AC22" s="177"/>
      <c r="AD22" s="112">
        <f t="shared" si="4"/>
        <v>148597.56959639976</v>
      </c>
      <c r="AE22" s="176"/>
    </row>
    <row r="23" spans="1:43" x14ac:dyDescent="0.55000000000000004">
      <c r="A23" s="24" t="s">
        <v>185</v>
      </c>
      <c r="B23" s="132">
        <f>'output H2 PROVA'!R14</f>
        <v>2483.2089090661511</v>
      </c>
      <c r="C23" s="130"/>
      <c r="K23" s="146">
        <f>(K2-J2)*21+K26</f>
        <v>5.1646459090714973</v>
      </c>
      <c r="R23" s="228">
        <f>SUM(S2:S22)</f>
        <v>14.646618612146087</v>
      </c>
      <c r="S23" s="228">
        <f>SUM(T2:T22)</f>
        <v>10.304881775481741</v>
      </c>
      <c r="T23" s="228"/>
      <c r="U23" s="228">
        <f>SUM(V2:V22)</f>
        <v>24.951500387627824</v>
      </c>
    </row>
    <row r="24" spans="1:43" ht="14.7" thickBot="1" x14ac:dyDescent="0.6">
      <c r="A24" s="129" t="s">
        <v>186</v>
      </c>
      <c r="B24" s="133">
        <v>80</v>
      </c>
      <c r="C24" s="130"/>
    </row>
    <row r="25" spans="1:43" ht="17.100000000000001" thickBot="1" x14ac:dyDescent="0.8">
      <c r="A25" s="131" t="s">
        <v>187</v>
      </c>
      <c r="B25" s="134">
        <f>B23*B24/10^6</f>
        <v>0.19865671272529209</v>
      </c>
      <c r="I25" s="126" t="s">
        <v>328</v>
      </c>
      <c r="J25" s="148"/>
      <c r="K25" s="148" t="s">
        <v>348</v>
      </c>
      <c r="L25" s="87" t="s">
        <v>196</v>
      </c>
      <c r="M25" s="87" t="s">
        <v>81</v>
      </c>
      <c r="N25" s="87" t="s">
        <v>82</v>
      </c>
      <c r="O25" s="127" t="s">
        <v>347</v>
      </c>
    </row>
    <row r="26" spans="1:43" ht="14.7" thickBot="1" x14ac:dyDescent="0.6">
      <c r="I26" s="118">
        <f>SUM(I2:I22)</f>
        <v>15.42519424551088</v>
      </c>
      <c r="J26" s="117"/>
      <c r="K26" s="117">
        <f>SUM(K2:K22)</f>
        <v>4.6682184381513157</v>
      </c>
      <c r="L26" s="118">
        <f>SUM(L2:L22)</f>
        <v>17.256044455365139</v>
      </c>
      <c r="M26" s="118">
        <f>M22</f>
        <v>3.3202633386189007</v>
      </c>
      <c r="N26">
        <f>SUM(N2:N22)</f>
        <v>6.6405266772378013</v>
      </c>
      <c r="O26" s="118">
        <f>G2</f>
        <v>36.657586509675355</v>
      </c>
    </row>
    <row r="27" spans="1:43" ht="14.7" thickBot="1" x14ac:dyDescent="0.6">
      <c r="A27" s="116" t="s">
        <v>99</v>
      </c>
    </row>
    <row r="28" spans="1:43" x14ac:dyDescent="0.55000000000000004">
      <c r="A28" s="7" t="s">
        <v>77</v>
      </c>
      <c r="B28" s="135">
        <f>'costo electrolyser'!C5/10^6</f>
        <v>33.202633386189007</v>
      </c>
      <c r="AA28" t="s">
        <v>353</v>
      </c>
      <c r="AB28" t="s">
        <v>354</v>
      </c>
    </row>
    <row r="29" spans="1:43" x14ac:dyDescent="0.55000000000000004">
      <c r="A29" s="7" t="s">
        <v>87</v>
      </c>
      <c r="B29" s="143">
        <f>(6*'polarization curve'!Z17*1000)/(10^6)</f>
        <v>5.63940337715149E-3</v>
      </c>
      <c r="R29" t="s">
        <v>351</v>
      </c>
      <c r="S29" t="s">
        <v>352</v>
      </c>
      <c r="U29" t="s">
        <v>349</v>
      </c>
      <c r="W29" t="s">
        <v>350</v>
      </c>
      <c r="X29" t="s">
        <v>349</v>
      </c>
      <c r="Y29" t="s">
        <v>261</v>
      </c>
      <c r="AA29">
        <f>AA2*10^6/AE2</f>
        <v>7.7165001663639314</v>
      </c>
    </row>
    <row r="30" spans="1:43" x14ac:dyDescent="0.55000000000000004">
      <c r="A30" s="7" t="s">
        <v>81</v>
      </c>
      <c r="B30" s="136">
        <f>0.1*B28</f>
        <v>3.3202633386189007</v>
      </c>
      <c r="R30">
        <f>R23*10^6/Q22</f>
        <v>2.0597108020560211</v>
      </c>
      <c r="S30">
        <f>S23*10^6/Q22</f>
        <v>1.4491451487149756</v>
      </c>
      <c r="U30" s="204">
        <f>Y2*10^6/Q22</f>
        <v>6.5558048752854017</v>
      </c>
      <c r="W30" s="204">
        <f>X2*10^6/Q22</f>
        <v>3.5088559507709962</v>
      </c>
      <c r="X30" s="204">
        <f>Y2*10^6/Q22</f>
        <v>6.5558048752854017</v>
      </c>
      <c r="Y30" s="204">
        <f>SUM(W30:X30)</f>
        <v>10.064660826056398</v>
      </c>
    </row>
    <row r="31" spans="1:43" ht="14.7" thickBot="1" x14ac:dyDescent="0.6">
      <c r="A31" s="16" t="s">
        <v>100</v>
      </c>
      <c r="B31" s="137">
        <f>B28*0.2</f>
        <v>6.6405266772378013</v>
      </c>
    </row>
    <row r="32" spans="1:43" ht="14.7" thickBot="1" x14ac:dyDescent="0.6">
      <c r="A32" s="26" t="s">
        <v>300</v>
      </c>
      <c r="B32" s="205">
        <f>'polarization curve'!Z17*1000</f>
        <v>939.90056285858157</v>
      </c>
      <c r="AH32" s="266" t="s">
        <v>368</v>
      </c>
      <c r="AI32" s="267"/>
      <c r="AJ32" s="267"/>
      <c r="AK32" s="267"/>
      <c r="AL32" s="267"/>
      <c r="AM32" s="267"/>
      <c r="AN32" s="267"/>
      <c r="AO32" s="267"/>
      <c r="AP32" s="267"/>
      <c r="AQ32" s="268"/>
    </row>
    <row r="33" spans="1:58" ht="14.7" thickBot="1" x14ac:dyDescent="0.6">
      <c r="A33" s="26" t="s">
        <v>301</v>
      </c>
      <c r="B33" s="206">
        <f>B28*10^6/B32</f>
        <v>35325.687310163587</v>
      </c>
      <c r="AH33" s="269"/>
      <c r="AI33" s="270"/>
      <c r="AJ33" s="270"/>
      <c r="AK33" s="270"/>
      <c r="AL33" s="270"/>
      <c r="AM33" s="270"/>
      <c r="AN33" s="270"/>
      <c r="AO33" s="270"/>
      <c r="AP33" s="270"/>
      <c r="AQ33" s="271"/>
    </row>
    <row r="34" spans="1:58" ht="14.7" thickBot="1" x14ac:dyDescent="0.6">
      <c r="B34" s="204"/>
    </row>
    <row r="35" spans="1:58" ht="14.7" thickBot="1" x14ac:dyDescent="0.6">
      <c r="V35" s="337" t="s">
        <v>355</v>
      </c>
      <c r="W35" s="338"/>
      <c r="X35" s="338"/>
      <c r="Y35" s="339"/>
      <c r="Z35" s="279" t="s">
        <v>363</v>
      </c>
      <c r="AA35" s="332" t="s">
        <v>356</v>
      </c>
      <c r="AB35" s="333"/>
      <c r="AC35" s="333"/>
      <c r="AD35" s="72" t="s">
        <v>364</v>
      </c>
      <c r="AH35" s="337" t="s">
        <v>353</v>
      </c>
      <c r="AI35" s="338"/>
      <c r="AJ35" s="338"/>
      <c r="AK35" s="339"/>
      <c r="AL35" s="279" t="s">
        <v>363</v>
      </c>
      <c r="AM35" s="332" t="s">
        <v>354</v>
      </c>
      <c r="AN35" s="333"/>
      <c r="AO35" s="333"/>
      <c r="AP35" s="333"/>
      <c r="AQ35" s="343"/>
      <c r="AR35" t="s">
        <v>364</v>
      </c>
      <c r="AV35" s="337" t="s">
        <v>362</v>
      </c>
      <c r="AW35" s="338"/>
      <c r="AX35" s="338"/>
      <c r="AY35" s="339"/>
      <c r="AZ35" s="57" t="s">
        <v>363</v>
      </c>
      <c r="BA35" s="332" t="s">
        <v>354</v>
      </c>
      <c r="BB35" s="333"/>
      <c r="BC35" s="333"/>
      <c r="BD35" s="333"/>
      <c r="BE35" s="232"/>
      <c r="BF35" t="s">
        <v>364</v>
      </c>
    </row>
    <row r="36" spans="1:58" ht="14.4" customHeight="1" thickBot="1" x14ac:dyDescent="0.6">
      <c r="A36" s="308" t="s">
        <v>281</v>
      </c>
      <c r="B36" s="309"/>
      <c r="C36" s="310"/>
      <c r="V36" s="229" t="s">
        <v>359</v>
      </c>
      <c r="W36" s="229" t="s">
        <v>357</v>
      </c>
      <c r="X36" s="229" t="s">
        <v>358</v>
      </c>
      <c r="Y36" s="229" t="s">
        <v>360</v>
      </c>
      <c r="Z36" s="271"/>
      <c r="AA36" s="45" t="s">
        <v>90</v>
      </c>
      <c r="AB36" s="45" t="s">
        <v>361</v>
      </c>
      <c r="AC36" s="45" t="s">
        <v>365</v>
      </c>
      <c r="AD36" s="204">
        <f>SUM(AA58:AC58)</f>
        <v>24.951500387627828</v>
      </c>
      <c r="AH36" s="229" t="s">
        <v>359</v>
      </c>
      <c r="AI36" s="229" t="s">
        <v>357</v>
      </c>
      <c r="AJ36" s="229" t="s">
        <v>358</v>
      </c>
      <c r="AK36" s="229"/>
      <c r="AL36" s="271"/>
      <c r="AM36" s="45" t="s">
        <v>90</v>
      </c>
      <c r="AN36" s="45" t="s">
        <v>361</v>
      </c>
      <c r="AO36" s="231" t="s">
        <v>365</v>
      </c>
      <c r="AP36" s="229" t="s">
        <v>360</v>
      </c>
      <c r="AR36" s="118">
        <f>SUM(AM58:AP58)</f>
        <v>30.722103013560599</v>
      </c>
      <c r="AV36" s="229" t="s">
        <v>359</v>
      </c>
      <c r="AW36" s="229" t="s">
        <v>357</v>
      </c>
      <c r="AX36" s="229" t="s">
        <v>358</v>
      </c>
      <c r="AY36" s="229"/>
      <c r="AZ36" s="118">
        <f>SUM(AV37:AX37)</f>
        <v>36.657586509675355</v>
      </c>
      <c r="BA36" s="45" t="s">
        <v>90</v>
      </c>
      <c r="BB36" s="45" t="s">
        <v>361</v>
      </c>
      <c r="BC36" s="223" t="s">
        <v>365</v>
      </c>
      <c r="BD36" s="229" t="s">
        <v>360</v>
      </c>
      <c r="BF36" s="118">
        <f>SUM(BA58:BD58)</f>
        <v>30.722103013560599</v>
      </c>
    </row>
    <row r="37" spans="1:58" ht="14.4" customHeight="1" x14ac:dyDescent="0.55000000000000004">
      <c r="A37" s="200" t="s">
        <v>282</v>
      </c>
      <c r="B37" s="203">
        <f>B15</f>
        <v>0.22177999999999998</v>
      </c>
      <c r="C37" s="201" t="s">
        <v>263</v>
      </c>
      <c r="V37" s="118">
        <f>B28</f>
        <v>33.202633386189007</v>
      </c>
      <c r="W37" s="118">
        <f>B15</f>
        <v>0.22177999999999998</v>
      </c>
      <c r="X37" s="118">
        <f>B19</f>
        <v>3.2331731234863463</v>
      </c>
      <c r="Y37" s="118">
        <f>B30+B31</f>
        <v>9.960790015856702</v>
      </c>
      <c r="Z37" s="118">
        <f>SUM(V37:Y37)</f>
        <v>46.618376525532057</v>
      </c>
      <c r="AA37" s="118">
        <f>(L2)/(1+0.04)^H2</f>
        <v>0.79011192561195698</v>
      </c>
      <c r="AB37" s="118">
        <f>(I2)/(1+0.04)^H2</f>
        <v>0.7062817877981169</v>
      </c>
      <c r="AC37" s="118">
        <f>(K2)/(1+0.04)^H2</f>
        <v>0.21374626548311884</v>
      </c>
      <c r="AD37" s="118"/>
      <c r="AH37" s="118">
        <f>V37</f>
        <v>33.202633386189007</v>
      </c>
      <c r="AI37" s="118">
        <f>W37</f>
        <v>0.22177999999999998</v>
      </c>
      <c r="AJ37" s="118">
        <f>X37</f>
        <v>3.2331731234863463</v>
      </c>
      <c r="AL37" s="118">
        <f>SUM(AH37:AJ37)</f>
        <v>36.657586509675355</v>
      </c>
      <c r="AM37" s="118">
        <f>(L2)/(1+0.04)^H2</f>
        <v>0.79011192561195698</v>
      </c>
      <c r="AN37" s="118">
        <f>(I2)/(1+0.04)^H2</f>
        <v>0.7062817877981169</v>
      </c>
      <c r="AO37" s="118">
        <f>(K2)/(1+0.04)^H2</f>
        <v>0.21374626548311884</v>
      </c>
      <c r="AP37" s="118"/>
      <c r="AV37" s="118">
        <f>AH37</f>
        <v>33.202633386189007</v>
      </c>
      <c r="AW37" s="118">
        <f>AI37</f>
        <v>0.22177999999999998</v>
      </c>
      <c r="AX37" s="118">
        <f>AJ37</f>
        <v>3.2331731234863463</v>
      </c>
      <c r="BA37" s="118">
        <f>AM37</f>
        <v>0.79011192561195698</v>
      </c>
      <c r="BB37" s="118">
        <f t="shared" ref="BB37:BC52" si="12">AN37</f>
        <v>0.7062817877981169</v>
      </c>
      <c r="BC37" s="118">
        <f t="shared" si="12"/>
        <v>0.21374626548311884</v>
      </c>
    </row>
    <row r="38" spans="1:58" ht="14.7" customHeight="1" x14ac:dyDescent="0.55000000000000004">
      <c r="A38" s="40" t="s">
        <v>283</v>
      </c>
      <c r="B38" s="175">
        <f>B12</f>
        <v>0.82171640263643531</v>
      </c>
      <c r="C38" s="123" t="s">
        <v>284</v>
      </c>
      <c r="AA38" s="118">
        <f t="shared" ref="AA38:AA57" si="13">(L3)/(1+0.04)^H3</f>
        <v>0.75972300539611248</v>
      </c>
      <c r="AB38" s="118">
        <f t="shared" ref="AB38:AB57" si="14">(I3)/(1+0.04)^H3</f>
        <v>0.67911710365203548</v>
      </c>
      <c r="AC38" s="118">
        <f t="shared" ref="AC38:AC57" si="15">(K3)/(1+0.04)^H3</f>
        <v>0.20552525527222965</v>
      </c>
      <c r="AD38" s="118"/>
      <c r="AM38" s="118">
        <f t="shared" ref="AM38:AM57" si="16">(L3)/(1+0.04)^H3</f>
        <v>0.75972300539611248</v>
      </c>
      <c r="AN38" s="118">
        <f t="shared" ref="AN38:AN57" si="17">(I3)/(1+0.04)^H3</f>
        <v>0.67911710365203548</v>
      </c>
      <c r="AO38" s="118">
        <f t="shared" ref="AO38:AO57" si="18">(K3)/(1+0.04)^H3</f>
        <v>0.20552525527222965</v>
      </c>
      <c r="AP38" s="118"/>
      <c r="BA38" s="118">
        <f t="shared" ref="BA38:BC57" si="19">AM38</f>
        <v>0.75972300539611248</v>
      </c>
      <c r="BB38" s="118">
        <f t="shared" si="12"/>
        <v>0.67911710365203548</v>
      </c>
      <c r="BC38" s="118">
        <f t="shared" si="12"/>
        <v>0.20552525527222965</v>
      </c>
    </row>
    <row r="39" spans="1:58" x14ac:dyDescent="0.55000000000000004">
      <c r="A39" s="40" t="s">
        <v>285</v>
      </c>
      <c r="B39" s="175">
        <f>'output H2 PROVA'!G16</f>
        <v>2.7831731234863462</v>
      </c>
      <c r="C39" s="123" t="s">
        <v>263</v>
      </c>
      <c r="AA39" s="118">
        <f t="shared" si="13"/>
        <v>0.73050288980395428</v>
      </c>
      <c r="AB39" s="118">
        <f t="shared" si="14"/>
        <v>0.65299721505003416</v>
      </c>
      <c r="AC39" s="118">
        <f t="shared" si="15"/>
        <v>0.19762043776175928</v>
      </c>
      <c r="AD39" s="118"/>
      <c r="AM39" s="118">
        <f t="shared" si="16"/>
        <v>0.73050288980395428</v>
      </c>
      <c r="AN39" s="118">
        <f t="shared" si="17"/>
        <v>0.65299721505003416</v>
      </c>
      <c r="AO39" s="118">
        <f t="shared" si="18"/>
        <v>0.19762043776175928</v>
      </c>
      <c r="AP39" s="118"/>
      <c r="BA39" s="118">
        <f t="shared" si="19"/>
        <v>0.73050288980395428</v>
      </c>
      <c r="BB39" s="118">
        <f t="shared" si="12"/>
        <v>0.65299721505003416</v>
      </c>
      <c r="BC39" s="118">
        <f t="shared" si="12"/>
        <v>0.19762043776175928</v>
      </c>
    </row>
    <row r="40" spans="1:58" x14ac:dyDescent="0.55000000000000004">
      <c r="A40" s="40" t="s">
        <v>286</v>
      </c>
      <c r="B40" s="60">
        <f>'output H2 PROVA'!K17</f>
        <v>0.45</v>
      </c>
      <c r="C40" s="123" t="s">
        <v>263</v>
      </c>
      <c r="AA40" s="118">
        <f t="shared" si="13"/>
        <v>0.70240662481149441</v>
      </c>
      <c r="AB40" s="118">
        <f t="shared" si="14"/>
        <v>0.62788193754810973</v>
      </c>
      <c r="AC40" s="118">
        <f t="shared" si="15"/>
        <v>0.19001965169399929</v>
      </c>
      <c r="AD40" s="118"/>
      <c r="AM40" s="118">
        <f t="shared" si="16"/>
        <v>0.70240662481149441</v>
      </c>
      <c r="AN40" s="118">
        <f t="shared" si="17"/>
        <v>0.62788193754810973</v>
      </c>
      <c r="AO40" s="118">
        <f t="shared" si="18"/>
        <v>0.19001965169399929</v>
      </c>
      <c r="AP40" s="118"/>
      <c r="BA40" s="118">
        <f t="shared" si="19"/>
        <v>0.70240662481149441</v>
      </c>
      <c r="BB40" s="118">
        <f t="shared" si="12"/>
        <v>0.62788193754810973</v>
      </c>
      <c r="BC40" s="118">
        <f t="shared" si="12"/>
        <v>0.19001965169399929</v>
      </c>
    </row>
    <row r="41" spans="1:58" x14ac:dyDescent="0.55000000000000004">
      <c r="A41" s="40" t="s">
        <v>287</v>
      </c>
      <c r="B41" s="60">
        <f>B20</f>
        <v>1.8000000000000002E-2</v>
      </c>
      <c r="C41" s="123" t="s">
        <v>284</v>
      </c>
      <c r="AA41" s="118">
        <f t="shared" si="13"/>
        <v>0.67539098539566766</v>
      </c>
      <c r="AB41" s="118">
        <f t="shared" si="14"/>
        <v>0.60373263225779772</v>
      </c>
      <c r="AC41" s="118">
        <f t="shared" si="15"/>
        <v>0.18271120355192236</v>
      </c>
      <c r="AD41" s="118"/>
      <c r="AM41" s="118">
        <f t="shared" si="16"/>
        <v>0.67539098539566766</v>
      </c>
      <c r="AN41" s="118">
        <f t="shared" si="17"/>
        <v>0.60373263225779772</v>
      </c>
      <c r="AO41" s="118">
        <f t="shared" si="18"/>
        <v>0.18271120355192236</v>
      </c>
      <c r="AP41" s="118"/>
      <c r="BA41" s="118">
        <f t="shared" si="19"/>
        <v>0.67539098539566766</v>
      </c>
      <c r="BB41" s="118">
        <f t="shared" si="12"/>
        <v>0.60373263225779772</v>
      </c>
      <c r="BC41" s="118">
        <f t="shared" si="12"/>
        <v>0.18271120355192236</v>
      </c>
    </row>
    <row r="42" spans="1:58" x14ac:dyDescent="0.55000000000000004">
      <c r="A42" s="40" t="s">
        <v>266</v>
      </c>
      <c r="B42" s="146">
        <f>B25</f>
        <v>0.19865671272529209</v>
      </c>
      <c r="C42" s="123" t="s">
        <v>284</v>
      </c>
      <c r="AA42" s="118">
        <f t="shared" si="13"/>
        <v>0.64941440903429581</v>
      </c>
      <c r="AB42" s="118">
        <f t="shared" si="14"/>
        <v>0.58051214640172855</v>
      </c>
      <c r="AC42" s="118">
        <f t="shared" si="15"/>
        <v>0.17568384956915611</v>
      </c>
      <c r="AD42" s="118"/>
      <c r="AM42" s="118">
        <f t="shared" si="16"/>
        <v>0.64941440903429581</v>
      </c>
      <c r="AN42" s="118">
        <f t="shared" si="17"/>
        <v>0.58051214640172855</v>
      </c>
      <c r="AO42" s="118">
        <f t="shared" si="18"/>
        <v>0.17568384956915611</v>
      </c>
      <c r="AP42" s="118"/>
      <c r="BA42" s="118">
        <f t="shared" si="19"/>
        <v>0.64941440903429581</v>
      </c>
      <c r="BB42" s="118">
        <f t="shared" si="12"/>
        <v>0.58051214640172855</v>
      </c>
      <c r="BC42" s="118">
        <f t="shared" si="12"/>
        <v>0.17568384956915611</v>
      </c>
    </row>
    <row r="43" spans="1:58" x14ac:dyDescent="0.55000000000000004">
      <c r="A43" s="40" t="s">
        <v>288</v>
      </c>
      <c r="B43" s="175">
        <f>B28</f>
        <v>33.202633386189007</v>
      </c>
      <c r="C43" s="123" t="s">
        <v>263</v>
      </c>
      <c r="E43" t="s">
        <v>256</v>
      </c>
      <c r="AA43" s="118">
        <f t="shared" si="13"/>
        <v>0.62443693176374604</v>
      </c>
      <c r="AB43" s="118">
        <f t="shared" si="14"/>
        <v>0.55818475615550833</v>
      </c>
      <c r="AC43" s="118">
        <f t="shared" si="15"/>
        <v>0.16892677843188089</v>
      </c>
      <c r="AD43" s="118"/>
      <c r="AM43" s="118">
        <f t="shared" si="16"/>
        <v>0.62443693176374604</v>
      </c>
      <c r="AN43" s="118">
        <f t="shared" si="17"/>
        <v>0.55818475615550833</v>
      </c>
      <c r="AO43" s="118">
        <f t="shared" si="18"/>
        <v>0.16892677843188089</v>
      </c>
      <c r="AP43" s="118"/>
      <c r="BA43" s="118">
        <f t="shared" si="19"/>
        <v>0.62443693176374604</v>
      </c>
      <c r="BB43" s="118">
        <f t="shared" si="12"/>
        <v>0.55818475615550833</v>
      </c>
      <c r="BC43" s="118">
        <f t="shared" si="12"/>
        <v>0.16892677843188089</v>
      </c>
    </row>
    <row r="44" spans="1:58" x14ac:dyDescent="0.55000000000000004">
      <c r="A44" s="40" t="s">
        <v>289</v>
      </c>
      <c r="B44" s="146">
        <f>B29</f>
        <v>5.63940337715149E-3</v>
      </c>
      <c r="C44" s="123" t="s">
        <v>284</v>
      </c>
      <c r="AA44" s="118">
        <f t="shared" si="13"/>
        <v>0.60042012669590961</v>
      </c>
      <c r="AB44" s="118">
        <f t="shared" si="14"/>
        <v>0.53671611168798861</v>
      </c>
      <c r="AC44" s="118">
        <f t="shared" si="15"/>
        <v>0.16242959464603929</v>
      </c>
      <c r="AD44" s="118"/>
      <c r="AM44" s="118">
        <f t="shared" si="16"/>
        <v>0.60042012669590961</v>
      </c>
      <c r="AN44" s="118">
        <f t="shared" si="17"/>
        <v>0.53671611168798861</v>
      </c>
      <c r="AO44" s="118">
        <f t="shared" si="18"/>
        <v>0.16242959464603929</v>
      </c>
      <c r="AP44" s="118"/>
      <c r="BA44" s="118">
        <f t="shared" si="19"/>
        <v>0.60042012669590961</v>
      </c>
      <c r="BB44" s="118">
        <f t="shared" si="12"/>
        <v>0.53671611168798861</v>
      </c>
      <c r="BC44" s="118">
        <f t="shared" si="12"/>
        <v>0.16242959464603929</v>
      </c>
    </row>
    <row r="45" spans="1:58" x14ac:dyDescent="0.55000000000000004">
      <c r="A45" s="40" t="s">
        <v>290</v>
      </c>
      <c r="B45" s="175">
        <f>B30</f>
        <v>3.3202633386189007</v>
      </c>
      <c r="C45" s="123" t="s">
        <v>263</v>
      </c>
      <c r="AA45" s="118">
        <f t="shared" si="13"/>
        <v>0.57732704489991293</v>
      </c>
      <c r="AB45" s="118">
        <f t="shared" si="14"/>
        <v>0.51607318431537363</v>
      </c>
      <c r="AC45" s="118">
        <f t="shared" si="15"/>
        <v>0.15618230254426854</v>
      </c>
      <c r="AD45" s="118"/>
      <c r="AM45" s="118">
        <f t="shared" si="16"/>
        <v>0.57732704489991293</v>
      </c>
      <c r="AN45" s="118">
        <f t="shared" si="17"/>
        <v>0.51607318431537363</v>
      </c>
      <c r="AO45" s="118">
        <f t="shared" si="18"/>
        <v>0.15618230254426854</v>
      </c>
      <c r="AP45" s="118"/>
      <c r="BA45" s="118">
        <f t="shared" si="19"/>
        <v>0.57732704489991293</v>
      </c>
      <c r="BB45" s="118">
        <f t="shared" si="12"/>
        <v>0.51607318431537363</v>
      </c>
      <c r="BC45" s="118">
        <f t="shared" si="12"/>
        <v>0.15618230254426854</v>
      </c>
    </row>
    <row r="46" spans="1:58" x14ac:dyDescent="0.55000000000000004">
      <c r="A46" s="40" t="s">
        <v>291</v>
      </c>
      <c r="B46" s="175">
        <f>B31</f>
        <v>6.6405266772378013</v>
      </c>
      <c r="C46" s="123" t="s">
        <v>263</v>
      </c>
      <c r="AA46" s="118">
        <f t="shared" si="13"/>
        <v>0.5551221585576086</v>
      </c>
      <c r="AB46" s="118">
        <f t="shared" si="14"/>
        <v>0.49622421568785929</v>
      </c>
      <c r="AC46" s="118">
        <f t="shared" si="15"/>
        <v>0.15017529090795051</v>
      </c>
      <c r="AD46" s="118"/>
      <c r="AM46" s="118">
        <f t="shared" si="16"/>
        <v>0.5551221585576086</v>
      </c>
      <c r="AN46" s="118">
        <f t="shared" si="17"/>
        <v>0.49622421568785929</v>
      </c>
      <c r="AO46" s="118">
        <f t="shared" si="18"/>
        <v>0.15017529090795051</v>
      </c>
      <c r="AP46" s="118"/>
      <c r="BA46" s="118">
        <f t="shared" si="19"/>
        <v>0.5551221585576086</v>
      </c>
      <c r="BB46" s="118">
        <f t="shared" si="12"/>
        <v>0.49622421568785929</v>
      </c>
      <c r="BC46" s="118">
        <f t="shared" si="12"/>
        <v>0.15017529090795051</v>
      </c>
    </row>
    <row r="47" spans="1:58" ht="14.7" thickBot="1" x14ac:dyDescent="0.6">
      <c r="A47" s="86" t="s">
        <v>292</v>
      </c>
      <c r="B47" s="181">
        <f>B2</f>
        <v>0.73453305931004165</v>
      </c>
      <c r="C47" s="173" t="s">
        <v>284</v>
      </c>
      <c r="AA47" s="118">
        <f t="shared" si="13"/>
        <v>0.53377130630539293</v>
      </c>
      <c r="AB47" s="118">
        <f t="shared" si="14"/>
        <v>0.47713866893063395</v>
      </c>
      <c r="AC47" s="118">
        <f t="shared" si="15"/>
        <v>0.14439931818072166</v>
      </c>
      <c r="AD47" s="118"/>
      <c r="AM47" s="118">
        <f t="shared" si="16"/>
        <v>0.53377130630539293</v>
      </c>
      <c r="AN47" s="118">
        <f t="shared" si="17"/>
        <v>0.47713866893063395</v>
      </c>
      <c r="AO47" s="118">
        <f t="shared" si="18"/>
        <v>0.14439931818072166</v>
      </c>
      <c r="AP47" s="118">
        <f>(N12)/((1+0.04)^H12)</f>
        <v>4.3135595050708631</v>
      </c>
      <c r="BA47" s="118">
        <f t="shared" si="19"/>
        <v>0.53377130630539293</v>
      </c>
      <c r="BB47" s="118">
        <f t="shared" si="12"/>
        <v>0.47713866893063395</v>
      </c>
      <c r="BC47" s="118">
        <f t="shared" si="12"/>
        <v>0.14439931818072166</v>
      </c>
      <c r="BD47">
        <f>(N12)/((1+0.04)^H12)</f>
        <v>4.3135595050708631</v>
      </c>
    </row>
    <row r="48" spans="1:58" x14ac:dyDescent="0.55000000000000004">
      <c r="A48" s="45"/>
      <c r="B48" s="45"/>
      <c r="C48" s="45"/>
      <c r="AA48" s="118">
        <f t="shared" si="13"/>
        <v>0.51324164067826239</v>
      </c>
      <c r="AB48" s="118">
        <f t="shared" si="14"/>
        <v>0.45878718166407101</v>
      </c>
      <c r="AC48" s="118">
        <f t="shared" si="15"/>
        <v>0.13884549825069389</v>
      </c>
      <c r="AD48" s="118"/>
      <c r="AM48" s="118">
        <f t="shared" si="16"/>
        <v>0.51324164067826239</v>
      </c>
      <c r="AN48" s="118">
        <f t="shared" si="17"/>
        <v>0.45878718166407101</v>
      </c>
      <c r="AO48" s="118">
        <f t="shared" si="18"/>
        <v>0.13884549825069389</v>
      </c>
      <c r="AP48" s="118"/>
      <c r="BA48" s="118">
        <f t="shared" si="19"/>
        <v>0.51324164067826239</v>
      </c>
      <c r="BB48" s="118">
        <f t="shared" si="12"/>
        <v>0.45878718166407101</v>
      </c>
      <c r="BC48" s="118">
        <f t="shared" si="12"/>
        <v>0.13884549825069389</v>
      </c>
    </row>
    <row r="49" spans="1:58" x14ac:dyDescent="0.55000000000000004">
      <c r="A49" s="45"/>
      <c r="B49" s="45"/>
      <c r="C49" s="45"/>
      <c r="AA49" s="118">
        <f t="shared" si="13"/>
        <v>0.49350157757525226</v>
      </c>
      <c r="AB49" s="118">
        <f t="shared" si="14"/>
        <v>0.44114152083083752</v>
      </c>
      <c r="AC49" s="118">
        <f t="shared" si="15"/>
        <v>0.13350528677951334</v>
      </c>
      <c r="AD49" s="118"/>
      <c r="AM49" s="118">
        <f t="shared" si="16"/>
        <v>0.49350157757525226</v>
      </c>
      <c r="AN49" s="118">
        <f t="shared" si="17"/>
        <v>0.44114152083083752</v>
      </c>
      <c r="AO49" s="118">
        <f t="shared" si="18"/>
        <v>0.13350528677951334</v>
      </c>
      <c r="AP49" s="118"/>
      <c r="BA49" s="118">
        <f t="shared" si="19"/>
        <v>0.49350157757525226</v>
      </c>
      <c r="BB49" s="118">
        <f t="shared" si="12"/>
        <v>0.44114152083083752</v>
      </c>
      <c r="BC49" s="118">
        <f t="shared" si="12"/>
        <v>0.13350528677951334</v>
      </c>
    </row>
    <row r="50" spans="1:58" x14ac:dyDescent="0.55000000000000004">
      <c r="AA50" s="118">
        <f t="shared" si="13"/>
        <v>0.47452074766851177</v>
      </c>
      <c r="AB50" s="118">
        <f t="shared" si="14"/>
        <v>0.4241745392604207</v>
      </c>
      <c r="AC50" s="118">
        <f t="shared" si="15"/>
        <v>0.12837046805722438</v>
      </c>
      <c r="AD50" s="118"/>
      <c r="AM50" s="118">
        <f t="shared" si="16"/>
        <v>0.47452074766851177</v>
      </c>
      <c r="AN50" s="118">
        <f t="shared" si="17"/>
        <v>0.4241745392604207</v>
      </c>
      <c r="AO50" s="118">
        <f t="shared" si="18"/>
        <v>0.12837046805722438</v>
      </c>
      <c r="AP50" s="118"/>
      <c r="BA50" s="118">
        <f t="shared" si="19"/>
        <v>0.47452074766851177</v>
      </c>
      <c r="BB50" s="118">
        <f t="shared" si="12"/>
        <v>0.4241745392604207</v>
      </c>
      <c r="BC50" s="118">
        <f t="shared" si="12"/>
        <v>0.12837046805722438</v>
      </c>
    </row>
    <row r="51" spans="1:58" x14ac:dyDescent="0.55000000000000004">
      <c r="AA51" s="118">
        <f t="shared" si="13"/>
        <v>0.45626994968126133</v>
      </c>
      <c r="AB51" s="118">
        <f t="shared" si="14"/>
        <v>0.40786013390425069</v>
      </c>
      <c r="AC51" s="118">
        <f t="shared" si="15"/>
        <v>0.12343314236271574</v>
      </c>
      <c r="AD51" s="118"/>
      <c r="AM51" s="118">
        <f t="shared" si="16"/>
        <v>0.45626994968126133</v>
      </c>
      <c r="AN51" s="118">
        <f t="shared" si="17"/>
        <v>0.40786013390425069</v>
      </c>
      <c r="AO51" s="118">
        <f t="shared" si="18"/>
        <v>0.12343314236271574</v>
      </c>
      <c r="AP51" s="118"/>
      <c r="BA51" s="118">
        <f t="shared" si="19"/>
        <v>0.45626994968126133</v>
      </c>
      <c r="BB51" s="118">
        <f t="shared" si="12"/>
        <v>0.40786013390425069</v>
      </c>
      <c r="BC51" s="118">
        <f t="shared" si="12"/>
        <v>0.12343314236271574</v>
      </c>
    </row>
    <row r="52" spans="1:58" x14ac:dyDescent="0.55000000000000004">
      <c r="AA52" s="118">
        <f t="shared" si="13"/>
        <v>0.43872110546275123</v>
      </c>
      <c r="AB52" s="118">
        <f t="shared" si="14"/>
        <v>0.39217320567716402</v>
      </c>
      <c r="AC52" s="118">
        <f t="shared" si="15"/>
        <v>0.11868571381030359</v>
      </c>
      <c r="AD52" s="118"/>
      <c r="AM52" s="118">
        <f t="shared" si="16"/>
        <v>0.43872110546275123</v>
      </c>
      <c r="AN52" s="118">
        <f t="shared" si="17"/>
        <v>0.39217320567716402</v>
      </c>
      <c r="AO52" s="118">
        <f t="shared" si="18"/>
        <v>0.11868571381030359</v>
      </c>
      <c r="AP52" s="118"/>
      <c r="BA52" s="118">
        <f t="shared" si="19"/>
        <v>0.43872110546275123</v>
      </c>
      <c r="BB52" s="118">
        <f t="shared" si="12"/>
        <v>0.39217320567716402</v>
      </c>
      <c r="BC52" s="118">
        <f t="shared" si="12"/>
        <v>0.11868571381030359</v>
      </c>
    </row>
    <row r="53" spans="1:58" x14ac:dyDescent="0.55000000000000004">
      <c r="AA53" s="118">
        <f t="shared" si="13"/>
        <v>0.42184721679110693</v>
      </c>
      <c r="AB53" s="118">
        <f t="shared" si="14"/>
        <v>0.37708962084342695</v>
      </c>
      <c r="AC53" s="118">
        <f t="shared" si="15"/>
        <v>0.11412087866375344</v>
      </c>
      <c r="AD53" s="118"/>
      <c r="AM53" s="118">
        <f t="shared" si="16"/>
        <v>0.42184721679110693</v>
      </c>
      <c r="AN53" s="118">
        <f t="shared" si="17"/>
        <v>0.37708962084342695</v>
      </c>
      <c r="AO53" s="118">
        <f t="shared" si="18"/>
        <v>0.11412087866375344</v>
      </c>
      <c r="AP53" s="118"/>
      <c r="BA53" s="118">
        <f t="shared" si="19"/>
        <v>0.42184721679110693</v>
      </c>
      <c r="BB53" s="118">
        <f t="shared" si="19"/>
        <v>0.37708962084342695</v>
      </c>
      <c r="BC53" s="118">
        <f t="shared" si="19"/>
        <v>0.11412087866375344</v>
      </c>
    </row>
    <row r="54" spans="1:58" x14ac:dyDescent="0.55000000000000004">
      <c r="AA54" s="118">
        <f t="shared" si="13"/>
        <v>0.40562232383760277</v>
      </c>
      <c r="AB54" s="118">
        <f t="shared" si="14"/>
        <v>0.36258617388791048</v>
      </c>
      <c r="AC54" s="118">
        <f t="shared" si="15"/>
        <v>0.10973161409976291</v>
      </c>
      <c r="AD54" s="118"/>
      <c r="AM54" s="118">
        <f t="shared" si="16"/>
        <v>0.40562232383760277</v>
      </c>
      <c r="AN54" s="118">
        <f t="shared" si="17"/>
        <v>0.36258617388791048</v>
      </c>
      <c r="AO54" s="118">
        <f t="shared" si="18"/>
        <v>0.10973161409976291</v>
      </c>
      <c r="AP54" s="118"/>
      <c r="BA54" s="118">
        <f t="shared" si="19"/>
        <v>0.40562232383760277</v>
      </c>
      <c r="BB54" s="118">
        <f t="shared" si="19"/>
        <v>0.36258617388791048</v>
      </c>
      <c r="BC54" s="118">
        <f t="shared" si="19"/>
        <v>0.10973161409976291</v>
      </c>
    </row>
    <row r="55" spans="1:58" x14ac:dyDescent="0.55000000000000004">
      <c r="AA55" s="118">
        <f t="shared" si="13"/>
        <v>0.3900214652284642</v>
      </c>
      <c r="AB55" s="118">
        <f t="shared" si="14"/>
        <v>0.34864055181529857</v>
      </c>
      <c r="AC55" s="118">
        <f t="shared" si="15"/>
        <v>0.10551116740361818</v>
      </c>
      <c r="AD55" s="118"/>
      <c r="AM55" s="118">
        <f t="shared" si="16"/>
        <v>0.3900214652284642</v>
      </c>
      <c r="AN55" s="118">
        <f t="shared" si="17"/>
        <v>0.34864055181529857</v>
      </c>
      <c r="AO55" s="118">
        <f t="shared" si="18"/>
        <v>0.10551116740361818</v>
      </c>
      <c r="AP55" s="118"/>
      <c r="BA55" s="118">
        <f t="shared" si="19"/>
        <v>0.3900214652284642</v>
      </c>
      <c r="BB55" s="118">
        <f t="shared" si="19"/>
        <v>0.34864055181529857</v>
      </c>
      <c r="BC55" s="118">
        <f t="shared" si="19"/>
        <v>0.10551116740361818</v>
      </c>
    </row>
    <row r="56" spans="1:58" x14ac:dyDescent="0.55000000000000004">
      <c r="AA56" s="118">
        <f t="shared" si="13"/>
        <v>0.37502063964275406</v>
      </c>
      <c r="AB56" s="118">
        <f t="shared" si="14"/>
        <v>0.33523129982240246</v>
      </c>
      <c r="AC56" s="118">
        <f t="shared" si="15"/>
        <v>0.10145304558040209</v>
      </c>
      <c r="AD56" s="118"/>
      <c r="AM56" s="118">
        <f t="shared" si="16"/>
        <v>0.37502063964275406</v>
      </c>
      <c r="AN56" s="118">
        <f t="shared" si="17"/>
        <v>0.33523129982240246</v>
      </c>
      <c r="AO56" s="118">
        <f t="shared" si="18"/>
        <v>0.10145304558040209</v>
      </c>
      <c r="BA56" s="118">
        <f t="shared" si="19"/>
        <v>0.37502063964275406</v>
      </c>
      <c r="BB56" s="118">
        <f t="shared" si="19"/>
        <v>0.33523129982240246</v>
      </c>
      <c r="BC56" s="118">
        <f t="shared" si="19"/>
        <v>0.10145304558040209</v>
      </c>
    </row>
    <row r="57" spans="1:58" ht="14.7" thickBot="1" x14ac:dyDescent="0.6">
      <c r="AA57" s="118">
        <f t="shared" si="13"/>
        <v>0.36059676888726344</v>
      </c>
      <c r="AB57" s="118">
        <f t="shared" si="14"/>
        <v>0.32233778829077153</v>
      </c>
      <c r="AC57" s="118">
        <f t="shared" si="15"/>
        <v>9.7551005365771229E-2</v>
      </c>
      <c r="AD57" s="118"/>
      <c r="AM57" s="118">
        <f t="shared" si="16"/>
        <v>0.36059676888726344</v>
      </c>
      <c r="AN57" s="118">
        <f t="shared" si="17"/>
        <v>0.32233778829077153</v>
      </c>
      <c r="AO57" s="118">
        <f t="shared" si="18"/>
        <v>9.7551005365771229E-2</v>
      </c>
      <c r="AP57" s="118">
        <f>(M22)/((1+0.04)^H22)</f>
        <v>1.4570431208619099</v>
      </c>
      <c r="BA57" s="118">
        <f t="shared" si="19"/>
        <v>0.36059676888726344</v>
      </c>
      <c r="BB57" s="118">
        <f t="shared" si="19"/>
        <v>0.32233778829077153</v>
      </c>
      <c r="BC57" s="118">
        <f t="shared" si="19"/>
        <v>9.7551005365771229E-2</v>
      </c>
      <c r="BD57">
        <f>(M22)/((1+0.04)^H22)</f>
        <v>1.4570431208619099</v>
      </c>
    </row>
    <row r="58" spans="1:58" x14ac:dyDescent="0.55000000000000004">
      <c r="Z58" t="s">
        <v>366</v>
      </c>
      <c r="AA58" s="118">
        <f>SUM(AA37:AA57)</f>
        <v>11.527990843729283</v>
      </c>
      <c r="AB58" s="118">
        <f>SUM(AB37:AB57)</f>
        <v>10.304881775481741</v>
      </c>
      <c r="AC58" s="118">
        <f>SUM(AC37:AC57)</f>
        <v>3.1186277684168049</v>
      </c>
      <c r="AD58" s="118"/>
      <c r="AL58" s="57" t="s">
        <v>367</v>
      </c>
      <c r="AM58" s="118">
        <f>SUM(AM37:AM57)</f>
        <v>11.527990843729283</v>
      </c>
      <c r="AN58" s="118">
        <f t="shared" ref="AN58:AP58" si="20">SUM(AN37:AN57)</f>
        <v>10.304881775481741</v>
      </c>
      <c r="AO58" s="118">
        <f t="shared" si="20"/>
        <v>3.1186277684168049</v>
      </c>
      <c r="AP58" s="118">
        <f t="shared" si="20"/>
        <v>5.7706026259327725</v>
      </c>
      <c r="AZ58" s="57" t="s">
        <v>367</v>
      </c>
      <c r="BA58" s="118">
        <f>AM58</f>
        <v>11.527990843729283</v>
      </c>
      <c r="BB58" s="118">
        <f t="shared" ref="BB58:BD58" si="21">AN58</f>
        <v>10.304881775481741</v>
      </c>
      <c r="BC58" s="118">
        <f t="shared" si="21"/>
        <v>3.1186277684168049</v>
      </c>
      <c r="BD58" s="118">
        <f t="shared" si="21"/>
        <v>5.7706026259327725</v>
      </c>
    </row>
    <row r="59" spans="1:58" ht="14.7" thickBot="1" x14ac:dyDescent="0.6">
      <c r="Z59">
        <f>Q22</f>
        <v>7111007.3305076165</v>
      </c>
      <c r="AL59" s="118">
        <f>AE2</f>
        <v>4750545.6773609668</v>
      </c>
      <c r="AZ59" s="118">
        <f>Z59</f>
        <v>7111007.3305076165</v>
      </c>
    </row>
    <row r="60" spans="1:58" ht="14.7" thickBot="1" x14ac:dyDescent="0.6">
      <c r="W60" s="337" t="s">
        <v>355</v>
      </c>
      <c r="X60" s="338"/>
      <c r="Y60" s="338"/>
      <c r="Z60" s="339"/>
      <c r="AA60" s="332" t="s">
        <v>356</v>
      </c>
      <c r="AB60" s="333"/>
      <c r="AC60" s="333"/>
      <c r="AD60" s="334" t="s">
        <v>346</v>
      </c>
      <c r="AH60" s="234"/>
      <c r="AI60" s="337" t="s">
        <v>353</v>
      </c>
      <c r="AJ60" s="338"/>
      <c r="AK60" s="339"/>
      <c r="AL60" s="332" t="s">
        <v>354</v>
      </c>
      <c r="AM60" s="333"/>
      <c r="AN60" s="333"/>
      <c r="AO60" s="333"/>
      <c r="AP60" s="232"/>
      <c r="AR60" s="334" t="s">
        <v>369</v>
      </c>
      <c r="AV60" s="337" t="s">
        <v>362</v>
      </c>
      <c r="AW60" s="338"/>
      <c r="AX60" s="338"/>
      <c r="AY60" s="339"/>
      <c r="BA60" s="332" t="s">
        <v>354</v>
      </c>
      <c r="BB60" s="333"/>
      <c r="BC60" s="333"/>
      <c r="BD60" s="333"/>
      <c r="BE60" s="232"/>
      <c r="BF60" s="334" t="s">
        <v>370</v>
      </c>
    </row>
    <row r="61" spans="1:58" ht="16.8" x14ac:dyDescent="0.55000000000000004">
      <c r="W61" s="229" t="s">
        <v>359</v>
      </c>
      <c r="X61" s="229" t="s">
        <v>357</v>
      </c>
      <c r="Y61" s="229" t="s">
        <v>358</v>
      </c>
      <c r="Z61" s="229" t="s">
        <v>360</v>
      </c>
      <c r="AA61" s="45" t="s">
        <v>90</v>
      </c>
      <c r="AB61" s="45" t="s">
        <v>361</v>
      </c>
      <c r="AC61" s="45" t="s">
        <v>365</v>
      </c>
      <c r="AD61" s="334"/>
      <c r="AI61" s="229" t="s">
        <v>359</v>
      </c>
      <c r="AJ61" s="229" t="s">
        <v>357</v>
      </c>
      <c r="AK61" s="229" t="s">
        <v>358</v>
      </c>
      <c r="AL61" s="45" t="s">
        <v>90</v>
      </c>
      <c r="AM61" s="45" t="s">
        <v>361</v>
      </c>
      <c r="AN61" s="223" t="s">
        <v>365</v>
      </c>
      <c r="AO61" s="229" t="s">
        <v>360</v>
      </c>
      <c r="AR61" s="334"/>
      <c r="AV61" s="229" t="s">
        <v>359</v>
      </c>
      <c r="AW61" s="229" t="s">
        <v>357</v>
      </c>
      <c r="AX61" s="229" t="s">
        <v>358</v>
      </c>
      <c r="AY61" s="229"/>
      <c r="BA61" s="45" t="s">
        <v>90</v>
      </c>
      <c r="BB61" s="45" t="s">
        <v>361</v>
      </c>
      <c r="BC61" s="223" t="s">
        <v>365</v>
      </c>
      <c r="BD61" s="229" t="s">
        <v>360</v>
      </c>
      <c r="BF61" s="334"/>
    </row>
    <row r="62" spans="1:58" x14ac:dyDescent="0.55000000000000004">
      <c r="W62" s="112">
        <f>V37*10^6/Z59</f>
        <v>4.6691884627573357</v>
      </c>
      <c r="X62" s="112">
        <f>W37*10^6/Z59</f>
        <v>3.118826766617442E-2</v>
      </c>
      <c r="Y62" s="112">
        <f>X37*10^6/Z59</f>
        <v>0.45467160603468931</v>
      </c>
      <c r="Z62" s="112">
        <f>Y37*10^6/Z59</f>
        <v>1.4007565388272007</v>
      </c>
      <c r="AA62" s="112">
        <f>AA58*10^6/Z59</f>
        <v>1.6211473716630753</v>
      </c>
      <c r="AB62" s="112">
        <f>AB58*10^6/Z59</f>
        <v>1.4491451487149756</v>
      </c>
      <c r="AC62" s="112">
        <f>AC58*10^6/Z59</f>
        <v>0.43856343039294582</v>
      </c>
      <c r="AD62" s="230">
        <f>SUM(W62:Z62)+SUM(AA62:AC62)</f>
        <v>10.064660826056398</v>
      </c>
      <c r="AI62" s="112">
        <f>AH37*10^6/AL59</f>
        <v>6.9892251629993387</v>
      </c>
      <c r="AJ62" s="112">
        <f>AI37*10^6/AL59</f>
        <v>4.6685163150184394E-2</v>
      </c>
      <c r="AK62" s="112">
        <f>AJ37*10^6/AL59</f>
        <v>0.68058984021440794</v>
      </c>
      <c r="AL62" s="228">
        <f>AM58*10^6/$AL$59</f>
        <v>2.4266666666666676</v>
      </c>
      <c r="AM62" s="228">
        <f>AN58*10^6/$AL$59</f>
        <v>2.1691995983935746</v>
      </c>
      <c r="AN62" s="228">
        <f>AO58*10^6/$AL$59</f>
        <v>0.65647779859876465</v>
      </c>
      <c r="AO62" s="228">
        <f>AP58*10^6/$AL$59</f>
        <v>1.2147241638856254</v>
      </c>
      <c r="AR62" s="233">
        <f>SUM(AI62:AK62)+SUM(AL62:AO62)</f>
        <v>14.183568393908562</v>
      </c>
      <c r="AV62" s="204">
        <f>AV37*10^6/$AZ$59</f>
        <v>4.6691884627573357</v>
      </c>
      <c r="AW62" s="204">
        <f t="shared" ref="AW62:AX62" si="22">AW37*10^6/$AZ$59</f>
        <v>3.118826766617442E-2</v>
      </c>
      <c r="AX62" s="204">
        <f t="shared" si="22"/>
        <v>0.45467160603468931</v>
      </c>
      <c r="AY62" s="204"/>
      <c r="AZ62" s="204"/>
      <c r="BA62" s="204">
        <f>BA58*10^6/$AZ$59</f>
        <v>1.6211473716630753</v>
      </c>
      <c r="BB62" s="204">
        <f t="shared" ref="BB62:BD62" si="23">BB58*10^6/$AZ$59</f>
        <v>1.4491451487149756</v>
      </c>
      <c r="BC62" s="204">
        <f t="shared" si="23"/>
        <v>0.43856343039294582</v>
      </c>
      <c r="BD62" s="204">
        <f t="shared" si="23"/>
        <v>0.81150283746379437</v>
      </c>
      <c r="BE62" s="204"/>
      <c r="BF62" s="204">
        <f>SUM(AV62:AX62)+SUM(BA62:BD62)</f>
        <v>9.4754071246929925</v>
      </c>
    </row>
    <row r="70" spans="33:42" ht="14.7" thickBot="1" x14ac:dyDescent="0.6"/>
    <row r="71" spans="33:42" ht="14.7" thickBot="1" x14ac:dyDescent="0.6">
      <c r="AH71" s="335" t="s">
        <v>371</v>
      </c>
      <c r="AI71" s="336"/>
      <c r="AJ71" s="336"/>
      <c r="AK71" s="336"/>
      <c r="AL71" s="336"/>
      <c r="AM71" s="336"/>
      <c r="AN71" s="336"/>
      <c r="AO71" s="238"/>
      <c r="AP71" s="239"/>
    </row>
    <row r="72" spans="33:42" ht="16.8" x14ac:dyDescent="0.55000000000000004">
      <c r="AH72" s="235" t="s">
        <v>359</v>
      </c>
      <c r="AI72" s="235" t="s">
        <v>357</v>
      </c>
      <c r="AJ72" s="235" t="s">
        <v>358</v>
      </c>
      <c r="AK72" s="237" t="s">
        <v>372</v>
      </c>
      <c r="AL72" s="236" t="s">
        <v>90</v>
      </c>
      <c r="AM72" s="236" t="s">
        <v>361</v>
      </c>
      <c r="AN72" s="236" t="s">
        <v>365</v>
      </c>
    </row>
    <row r="73" spans="33:42" x14ac:dyDescent="0.55000000000000004">
      <c r="AG73" t="s">
        <v>346</v>
      </c>
      <c r="AH73" s="118">
        <f>W62</f>
        <v>4.6691884627573357</v>
      </c>
      <c r="AI73" s="118">
        <f t="shared" ref="AI73:AN73" si="24">X62</f>
        <v>3.118826766617442E-2</v>
      </c>
      <c r="AJ73" s="118">
        <f t="shared" si="24"/>
        <v>0.45467160603468931</v>
      </c>
      <c r="AK73" s="118">
        <f t="shared" si="24"/>
        <v>1.4007565388272007</v>
      </c>
      <c r="AL73" s="118">
        <f t="shared" si="24"/>
        <v>1.6211473716630753</v>
      </c>
      <c r="AM73" s="118">
        <f t="shared" si="24"/>
        <v>1.4491451487149756</v>
      </c>
      <c r="AN73" s="118">
        <f t="shared" si="24"/>
        <v>0.43856343039294582</v>
      </c>
      <c r="AO73" s="204">
        <f>SUM(AH73:AN73)-$AD$62</f>
        <v>0</v>
      </c>
    </row>
    <row r="74" spans="33:42" x14ac:dyDescent="0.55000000000000004">
      <c r="AG74" t="s">
        <v>369</v>
      </c>
      <c r="AH74" s="118">
        <f>AI62</f>
        <v>6.9892251629993387</v>
      </c>
      <c r="AI74" s="118">
        <f t="shared" ref="AI74:AJ74" si="25">AJ62</f>
        <v>4.6685163150184394E-2</v>
      </c>
      <c r="AJ74" s="118">
        <f t="shared" si="25"/>
        <v>0.68058984021440794</v>
      </c>
      <c r="AK74" s="204">
        <f>AO62</f>
        <v>1.2147241638856254</v>
      </c>
      <c r="AL74" s="204">
        <f>AL62</f>
        <v>2.4266666666666676</v>
      </c>
      <c r="AM74" s="204">
        <f t="shared" ref="AM74:AN74" si="26">AM62</f>
        <v>2.1691995983935746</v>
      </c>
      <c r="AN74" s="204">
        <f t="shared" si="26"/>
        <v>0.65647779859876465</v>
      </c>
      <c r="AO74" s="204">
        <f>SUM(AH74:AN74)-$AR$62</f>
        <v>0</v>
      </c>
    </row>
    <row r="75" spans="33:42" x14ac:dyDescent="0.55000000000000004">
      <c r="AG75" t="s">
        <v>370</v>
      </c>
      <c r="AH75" s="204">
        <f>AV62</f>
        <v>4.6691884627573357</v>
      </c>
      <c r="AI75" s="204">
        <f t="shared" ref="AI75:AJ75" si="27">AW62</f>
        <v>3.118826766617442E-2</v>
      </c>
      <c r="AJ75" s="204">
        <f t="shared" si="27"/>
        <v>0.45467160603468931</v>
      </c>
      <c r="AK75" s="204">
        <f>BD62</f>
        <v>0.81150283746379437</v>
      </c>
      <c r="AL75" s="204">
        <f>BA62</f>
        <v>1.6211473716630753</v>
      </c>
      <c r="AM75" s="204">
        <f t="shared" ref="AM75:AN75" si="28">BB62</f>
        <v>1.4491451487149756</v>
      </c>
      <c r="AN75" s="204">
        <f t="shared" si="28"/>
        <v>0.43856343039294582</v>
      </c>
      <c r="AO75" s="204">
        <f>SUM(AH75:AN75)-BF62</f>
        <v>0</v>
      </c>
    </row>
  </sheetData>
  <mergeCells count="21">
    <mergeCell ref="R1:R22"/>
    <mergeCell ref="AH32:AQ33"/>
    <mergeCell ref="V35:Y35"/>
    <mergeCell ref="Z35:Z36"/>
    <mergeCell ref="AA35:AC35"/>
    <mergeCell ref="AH35:AK35"/>
    <mergeCell ref="AL35:AL36"/>
    <mergeCell ref="AM35:AQ35"/>
    <mergeCell ref="A36:C36"/>
    <mergeCell ref="W60:Z60"/>
    <mergeCell ref="AA60:AC60"/>
    <mergeCell ref="AD60:AD61"/>
    <mergeCell ref="AI60:AK60"/>
    <mergeCell ref="BA60:BD60"/>
    <mergeCell ref="BF60:BF61"/>
    <mergeCell ref="AH71:AN71"/>
    <mergeCell ref="AV35:AY35"/>
    <mergeCell ref="BA35:BD35"/>
    <mergeCell ref="AL60:AO60"/>
    <mergeCell ref="AR60:AR61"/>
    <mergeCell ref="AV60:AY60"/>
  </mergeCells>
  <pageMargins left="0.7" right="0.7" top="0.75" bottom="0.75" header="0.3" footer="0.3"/>
  <pageSetup paperSize="9" orientation="portrait" verticalDpi="0"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EE03FF82527DF48BA83C7A4B15BB0EB" ma:contentTypeVersion="11" ma:contentTypeDescription="Create a new document." ma:contentTypeScope="" ma:versionID="123f40bb9c7feeab99be1eb765c44de3">
  <xsd:schema xmlns:xsd="http://www.w3.org/2001/XMLSchema" xmlns:xs="http://www.w3.org/2001/XMLSchema" xmlns:p="http://schemas.microsoft.com/office/2006/metadata/properties" xmlns:ns3="45d0aba2-3103-472f-bae8-9f8910da2108" xmlns:ns4="94c39f99-54ca-4b4f-b799-5a6739831a2a" targetNamespace="http://schemas.microsoft.com/office/2006/metadata/properties" ma:root="true" ma:fieldsID="45a45599dcd92250243400ce7d340128" ns3:_="" ns4:_="">
    <xsd:import namespace="45d0aba2-3103-472f-bae8-9f8910da2108"/>
    <xsd:import namespace="94c39f99-54ca-4b4f-b799-5a6739831a2a"/>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d0aba2-3103-472f-bae8-9f8910da21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_activity" ma:index="18"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4c39f99-54ca-4b4f-b799-5a6739831a2a"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45d0aba2-3103-472f-bae8-9f8910da2108" xsi:nil="true"/>
  </documentManagement>
</p:properties>
</file>

<file path=customXml/itemProps1.xml><?xml version="1.0" encoding="utf-8"?>
<ds:datastoreItem xmlns:ds="http://schemas.openxmlformats.org/officeDocument/2006/customXml" ds:itemID="{7B4B7266-03EA-430B-8781-17BAA357A7FE}">
  <ds:schemaRefs>
    <ds:schemaRef ds:uri="http://schemas.microsoft.com/sharepoint/v3/contenttype/forms"/>
  </ds:schemaRefs>
</ds:datastoreItem>
</file>

<file path=customXml/itemProps2.xml><?xml version="1.0" encoding="utf-8"?>
<ds:datastoreItem xmlns:ds="http://schemas.openxmlformats.org/officeDocument/2006/customXml" ds:itemID="{B7366BE9-18EE-475D-A148-75BBFA6447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d0aba2-3103-472f-bae8-9f8910da2108"/>
    <ds:schemaRef ds:uri="94c39f99-54ca-4b4f-b799-5a6739831a2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2599B7C-3005-4A42-9A1B-BA4CEFD36C68}">
  <ds:schemaRefs>
    <ds:schemaRef ds:uri="http://schemas.openxmlformats.org/package/2006/metadata/core-properties"/>
    <ds:schemaRef ds:uri="45d0aba2-3103-472f-bae8-9f8910da2108"/>
    <ds:schemaRef ds:uri="http://purl.org/dc/terms/"/>
    <ds:schemaRef ds:uri="http://purl.org/dc/elements/1.1/"/>
    <ds:schemaRef ds:uri="http://schemas.microsoft.com/office/2006/documentManagement/types"/>
    <ds:schemaRef ds:uri="http://schemas.microsoft.com/office/2006/metadata/properties"/>
    <ds:schemaRef ds:uri="94c39f99-54ca-4b4f-b799-5a6739831a2a"/>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14</vt:i4>
      </vt:variant>
    </vt:vector>
  </HeadingPairs>
  <TitlesOfParts>
    <vt:vector size="14" baseType="lpstr">
      <vt:lpstr>output H2</vt:lpstr>
      <vt:lpstr>caratteristiche cella </vt:lpstr>
      <vt:lpstr>costo idrogeno in 30 anni</vt:lpstr>
      <vt:lpstr>produzione di energia</vt:lpstr>
      <vt:lpstr>output H2 PROVA</vt:lpstr>
      <vt:lpstr>polarization curve</vt:lpstr>
      <vt:lpstr>costo electrolyser</vt:lpstr>
      <vt:lpstr>costo idrogeno in 20y</vt:lpstr>
      <vt:lpstr>contributi LCOH 0,08 </vt:lpstr>
      <vt:lpstr>contributi LCOH 0,12</vt:lpstr>
      <vt:lpstr>contributi LCOH 0,16</vt:lpstr>
      <vt:lpstr>contributi LCOH 0,24</vt:lpstr>
      <vt:lpstr>SENSITIVITY ANALYSIS</vt:lpstr>
      <vt:lpstr>LCOH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raffaele</dc:creator>
  <cp:keywords/>
  <dc:description/>
  <cp:lastModifiedBy>raffaele</cp:lastModifiedBy>
  <cp:revision/>
  <dcterms:created xsi:type="dcterms:W3CDTF">2022-12-12T17:24:19Z</dcterms:created>
  <dcterms:modified xsi:type="dcterms:W3CDTF">2023-03-14T16:47:46Z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0x010100DEE03FF82527DF48BA83C7A4B15BB0EB</vt:lpwstr>
  </property>
</Properties>
</file>